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LRamsdell\Sustainable Refrigeration\SUPPLEMENTAL FILES\"/>
    </mc:Choice>
  </mc:AlternateContent>
  <bookViews>
    <workbookView xWindow="0" yWindow="75" windowWidth="15120" windowHeight="7695"/>
  </bookViews>
  <sheets>
    <sheet name="Data &amp; Results" sheetId="6" r:id="rId1"/>
    <sheet name="SI Calculations" sheetId="2" state="hidden" r:id="rId2"/>
    <sheet name="Disclaimer and Help" sheetId="7" r:id="rId3"/>
  </sheets>
  <definedNames>
    <definedName name="_Toc460222140" localSheetId="2">'Disclaimer and Help'!$A$36</definedName>
    <definedName name="UnitSystems">'SI Calculations'!$L$20:$L$21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C9" i="6" l="1"/>
  <c r="E39" i="6" l="1"/>
  <c r="B41" i="6"/>
  <c r="E34" i="6" l="1"/>
  <c r="D22" i="6"/>
  <c r="F39" i="6" l="1"/>
  <c r="B11" i="2" l="1"/>
  <c r="E40" i="2" l="1"/>
  <c r="A32" i="2"/>
  <c r="A33" i="2"/>
  <c r="A34" i="2"/>
  <c r="A31" i="2"/>
  <c r="A22" i="2"/>
  <c r="A23" i="2"/>
  <c r="A24" i="2"/>
  <c r="A25" i="2"/>
  <c r="A26" i="2"/>
  <c r="A21" i="2"/>
  <c r="B3" i="2"/>
  <c r="L18" i="2" s="1"/>
  <c r="E39" i="2" s="1"/>
  <c r="B15" i="2"/>
  <c r="B16" i="2"/>
  <c r="B38" i="2"/>
  <c r="B41" i="2"/>
  <c r="L15" i="2" l="1"/>
  <c r="L13" i="2"/>
  <c r="L14" i="2"/>
  <c r="M15" i="2"/>
  <c r="M17" i="2"/>
  <c r="M16" i="2"/>
  <c r="M13" i="2"/>
  <c r="M14" i="2"/>
  <c r="L16" i="2"/>
  <c r="L17" i="2"/>
  <c r="E35" i="2" l="1"/>
  <c r="E27" i="2"/>
  <c r="E28" i="2"/>
  <c r="B7" i="2" l="1"/>
  <c r="B6" i="2"/>
  <c r="B4" i="2"/>
  <c r="C28" i="6"/>
  <c r="C27" i="6"/>
  <c r="C35" i="6"/>
  <c r="F41" i="6"/>
  <c r="F38" i="6"/>
  <c r="F37" i="6"/>
  <c r="F35" i="6"/>
  <c r="F34" i="6"/>
  <c r="F31" i="6"/>
  <c r="F32" i="6"/>
  <c r="F33" i="6"/>
  <c r="F30" i="6"/>
  <c r="F28" i="6"/>
  <c r="F27" i="6"/>
  <c r="F26" i="6"/>
  <c r="F22" i="6"/>
  <c r="F23" i="6"/>
  <c r="F24" i="6"/>
  <c r="F25" i="6"/>
  <c r="F21" i="6"/>
  <c r="F16" i="6"/>
  <c r="F15" i="6"/>
  <c r="D12" i="6"/>
  <c r="G12" i="6"/>
  <c r="C8" i="6"/>
  <c r="C5" i="6"/>
  <c r="B27" i="2" l="1"/>
  <c r="B28" i="2"/>
  <c r="B35" i="2"/>
  <c r="D26" i="2" l="1"/>
  <c r="D24" i="2"/>
  <c r="D32" i="2"/>
  <c r="D34" i="2"/>
  <c r="B9" i="2"/>
  <c r="D38" i="2"/>
  <c r="D33" i="2"/>
  <c r="D37" i="2"/>
  <c r="D40" i="2"/>
  <c r="G40" i="2" s="1"/>
  <c r="G40" i="6" s="1"/>
  <c r="D25" i="2"/>
  <c r="D39" i="2"/>
  <c r="G39" i="2" s="1"/>
  <c r="G39" i="6" s="1"/>
  <c r="D31" i="2"/>
  <c r="D41" i="2"/>
  <c r="D30" i="2"/>
  <c r="D22" i="2"/>
  <c r="D21" i="2"/>
  <c r="D23" i="2"/>
  <c r="E31" i="2"/>
  <c r="B8" i="2"/>
  <c r="E34" i="2"/>
  <c r="G34" i="2" s="1"/>
  <c r="G34" i="6" s="1"/>
  <c r="E32" i="2"/>
  <c r="E37" i="2"/>
  <c r="E26" i="2"/>
  <c r="E33" i="2"/>
  <c r="G33" i="2" s="1"/>
  <c r="G33" i="6" s="1"/>
  <c r="G31" i="2" l="1"/>
  <c r="G31" i="6" s="1"/>
  <c r="G32" i="2"/>
  <c r="G32" i="6" s="1"/>
  <c r="G37" i="2"/>
  <c r="G37" i="6" s="1"/>
  <c r="E38" i="2"/>
  <c r="E21" i="2"/>
  <c r="E22" i="2"/>
  <c r="G22" i="2" s="1"/>
  <c r="G22" i="6" s="1"/>
  <c r="E23" i="2"/>
  <c r="E25" i="2"/>
  <c r="G25" i="2" s="1"/>
  <c r="G25" i="6" s="1"/>
  <c r="B5" i="2"/>
  <c r="E41" i="2" s="1"/>
  <c r="G41" i="2" s="1"/>
  <c r="E24" i="2"/>
  <c r="G24" i="2" s="1"/>
  <c r="G24" i="6" s="1"/>
  <c r="D16" i="2"/>
  <c r="D16" i="6" s="1"/>
  <c r="D15" i="2"/>
  <c r="D15" i="6" s="1"/>
  <c r="E16" i="2"/>
  <c r="E15" i="2"/>
  <c r="E15" i="6" s="1"/>
  <c r="G26" i="2"/>
  <c r="G26" i="6" s="1"/>
  <c r="G38" i="2" l="1"/>
  <c r="G38" i="6" s="1"/>
  <c r="E38" i="6"/>
  <c r="G16" i="2"/>
  <c r="G16" i="6" s="1"/>
  <c r="E16" i="6"/>
  <c r="G41" i="6"/>
  <c r="E41" i="6"/>
  <c r="G15" i="2"/>
  <c r="G15" i="6" s="1"/>
  <c r="G27" i="2"/>
  <c r="G27" i="6" s="1"/>
  <c r="G21" i="2"/>
  <c r="G21" i="6" s="1"/>
  <c r="E30" i="2"/>
  <c r="E30" i="6" s="1"/>
  <c r="G28" i="2"/>
  <c r="G28" i="6" s="1"/>
  <c r="G23" i="2"/>
  <c r="G23" i="6" s="1"/>
  <c r="G36" i="2"/>
  <c r="G36" i="6" s="1"/>
  <c r="G17" i="2" l="1"/>
  <c r="G17" i="6" s="1"/>
  <c r="G20" i="2"/>
  <c r="G20" i="6" s="1"/>
  <c r="G35" i="2"/>
  <c r="G35" i="6" s="1"/>
  <c r="G30" i="2"/>
  <c r="G30" i="6" s="1"/>
  <c r="G29" i="2" l="1"/>
  <c r="G29" i="6" s="1"/>
  <c r="G42" i="2" l="1"/>
  <c r="G42" i="6" s="1"/>
  <c r="G44" i="2" l="1"/>
  <c r="G44" i="6" s="1"/>
  <c r="H44" i="2" l="1"/>
  <c r="H44" i="6" s="1"/>
  <c r="H39" i="2"/>
  <c r="H39" i="6" s="1"/>
  <c r="H40" i="2"/>
  <c r="H40" i="6" s="1"/>
  <c r="H41" i="2"/>
  <c r="H41" i="6" s="1"/>
  <c r="H17" i="2"/>
  <c r="H17" i="6" s="1"/>
  <c r="H36" i="2"/>
  <c r="H36" i="6" s="1"/>
  <c r="H20" i="2"/>
  <c r="H20" i="6" s="1"/>
  <c r="H29" i="2"/>
  <c r="H29" i="6" s="1"/>
  <c r="H42" i="2"/>
  <c r="H42" i="6" s="1"/>
</calcChain>
</file>

<file path=xl/sharedStrings.xml><?xml version="1.0" encoding="utf-8"?>
<sst xmlns="http://schemas.openxmlformats.org/spreadsheetml/2006/main" count="153" uniqueCount="77">
  <si>
    <t>tonnes</t>
  </si>
  <si>
    <t>kg</t>
  </si>
  <si>
    <t>Component</t>
  </si>
  <si>
    <t>Direct Emissions</t>
  </si>
  <si>
    <t>Refrigerant Leakage</t>
  </si>
  <si>
    <t>Total Direct Emissions</t>
  </si>
  <si>
    <t>Indirect Emissions</t>
  </si>
  <si>
    <t>Facility Construction Materials</t>
  </si>
  <si>
    <t>Refrigeration System Equipment</t>
  </si>
  <si>
    <t>Water Use</t>
  </si>
  <si>
    <t>Total Indirect Emissions</t>
  </si>
  <si>
    <t>- Annual</t>
  </si>
  <si>
    <t>- End of life</t>
  </si>
  <si>
    <t>- concrete</t>
  </si>
  <si>
    <t>- polystyrene</t>
  </si>
  <si>
    <t>- plastic</t>
  </si>
  <si>
    <t>- road transport of above</t>
  </si>
  <si>
    <t>- steel (structural)</t>
  </si>
  <si>
    <t>- steel (racking)</t>
  </si>
  <si>
    <t>- road transport of equipment</t>
  </si>
  <si>
    <t>- road transport of fill/concrete</t>
  </si>
  <si>
    <t>- steel</t>
  </si>
  <si>
    <t>- aluminium</t>
  </si>
  <si>
    <t>- copper</t>
  </si>
  <si>
    <t>Lubricating Oil</t>
  </si>
  <si>
    <t>Product Losses</t>
  </si>
  <si>
    <t>Refrigerant GWP (100 year)</t>
  </si>
  <si>
    <t>% of Total</t>
  </si>
  <si>
    <t>- refrigerant manufacture</t>
  </si>
  <si>
    <t>Energy Use (kWh pa)</t>
  </si>
  <si>
    <t>Carbon Footprint Tool for Refrigerated Faciliies</t>
  </si>
  <si>
    <t>years</t>
  </si>
  <si>
    <t>turns pa</t>
  </si>
  <si>
    <t>Facility Description</t>
  </si>
  <si>
    <t>Refrigerant Charge</t>
  </si>
  <si>
    <t>Unit System (SI/IP)</t>
  </si>
  <si>
    <t>SI</t>
  </si>
  <si>
    <t>Units</t>
  </si>
  <si>
    <t>% of charge pa</t>
  </si>
  <si>
    <t>% of charge</t>
  </si>
  <si>
    <t>Refrigrant Code</t>
  </si>
  <si>
    <t>Factor</t>
  </si>
  <si>
    <t>% of product pa</t>
  </si>
  <si>
    <t>kg pa</t>
  </si>
  <si>
    <t>kWh pa</t>
  </si>
  <si>
    <t>km</t>
  </si>
  <si>
    <t>- initial charge</t>
  </si>
  <si>
    <t>- annual use</t>
  </si>
  <si>
    <t>Product Inventory</t>
  </si>
  <si>
    <t>- aggregate (fill)</t>
  </si>
  <si>
    <r>
      <t>kg CO</t>
    </r>
    <r>
      <rPr>
        <vertAlign val="subscript"/>
        <sz val="11"/>
        <color theme="1"/>
        <rFont val="Calibri"/>
        <family val="2"/>
        <scheme val="minor"/>
      </rPr>
      <t>2 eq.</t>
    </r>
    <r>
      <rPr>
        <sz val="11"/>
        <color theme="1"/>
        <rFont val="Calibri"/>
        <family val="2"/>
        <scheme val="minor"/>
      </rPr>
      <t xml:space="preserve"> /tonne-km</t>
    </r>
  </si>
  <si>
    <t>tonnes pa</t>
  </si>
  <si>
    <t>Facility Lifetime</t>
  </si>
  <si>
    <t>Product Turnover Rate</t>
  </si>
  <si>
    <r>
      <t>kg CO</t>
    </r>
    <r>
      <rPr>
        <vertAlign val="subscript"/>
        <sz val="11"/>
        <color theme="1"/>
        <rFont val="Calibri"/>
        <family val="2"/>
        <scheme val="minor"/>
      </rPr>
      <t>2 eq.</t>
    </r>
    <r>
      <rPr>
        <sz val="11"/>
        <color theme="1"/>
        <rFont val="Calibri"/>
        <family val="2"/>
        <scheme val="minor"/>
      </rPr>
      <t xml:space="preserve"> /kg</t>
    </r>
  </si>
  <si>
    <t>Total Carbon Footprint</t>
  </si>
  <si>
    <t>SI to IP Conversions</t>
  </si>
  <si>
    <t>Slope</t>
  </si>
  <si>
    <t>Constant</t>
  </si>
  <si>
    <t>equipment</t>
  </si>
  <si>
    <t>fill/concrete</t>
  </si>
  <si>
    <t>kg to lb</t>
  </si>
  <si>
    <t>tonnes to tons</t>
  </si>
  <si>
    <t>kg/tonne-km to lb/ton-mile</t>
  </si>
  <si>
    <t>km to mile</t>
  </si>
  <si>
    <t>Data Cells</t>
  </si>
  <si>
    <t>Amount or Consumption</t>
  </si>
  <si>
    <t>Specific Impact (kg CO2 eq. per kg)</t>
  </si>
  <si>
    <t>Carbon Footprint (kg CO2 eq.)</t>
  </si>
  <si>
    <t>kg/kg to lb/lb</t>
  </si>
  <si>
    <t>Input Data Cells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</si>
  <si>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pa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</si>
  <si>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to gallons</t>
    </r>
  </si>
  <si>
    <t>IP</t>
  </si>
  <si>
    <t>Unit System</t>
  </si>
  <si>
    <t>Reference Example - Pump-Circulation Ammonia</t>
  </si>
  <si>
    <t>Double click to access full 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</si>
</sst>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3" fontId="0" fillId="0" borderId="0" xfId="0" applyNumberFormat="1" applyAlignment="1">
      <alignment horizontal="left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quotePrefix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3" fontId="0" fillId="0" borderId="0" xfId="0" quotePrefix="1" applyNumberFormat="1"/>
    <xf numFmtId="164" fontId="0" fillId="0" borderId="0" xfId="0" applyNumberFormat="1"/>
    <xf numFmtId="9" fontId="0" fillId="0" borderId="0" xfId="1" applyFont="1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vertical="center"/>
    </xf>
    <xf numFmtId="3" fontId="0" fillId="0" borderId="0" xfId="0" applyNumberFormat="1" applyAlignment="1">
      <alignment horizontal="center"/>
    </xf>
    <xf numFmtId="3" fontId="0" fillId="0" borderId="0" xfId="0" quotePrefix="1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10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1" applyNumberFormat="1" applyFont="1"/>
    <xf numFmtId="0" fontId="0" fillId="2" borderId="0" xfId="0" applyFill="1"/>
    <xf numFmtId="0" fontId="0" fillId="0" borderId="0" xfId="0" applyFill="1"/>
    <xf numFmtId="0" fontId="1" fillId="0" borderId="0" xfId="0" applyFont="1" applyFill="1"/>
    <xf numFmtId="3" fontId="0" fillId="0" borderId="0" xfId="0" applyNumberFormat="1" applyFill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3" fontId="0" fillId="2" borderId="0" xfId="0" applyNumberFormat="1" applyFill="1" applyAlignment="1" applyProtection="1">
      <alignment horizontal="center"/>
      <protection locked="0"/>
    </xf>
    <xf numFmtId="3" fontId="0" fillId="2" borderId="0" xfId="0" quotePrefix="1" applyNumberFormat="1" applyFill="1" applyAlignment="1" applyProtection="1">
      <alignment horizontal="center"/>
      <protection locked="0"/>
    </xf>
    <xf numFmtId="0" fontId="0" fillId="2" borderId="0" xfId="0" quotePrefix="1" applyNumberFormat="1" applyFill="1" applyAlignment="1" applyProtection="1">
      <alignment horizontal="center"/>
      <protection locked="0"/>
    </xf>
    <xf numFmtId="0" fontId="0" fillId="2" borderId="0" xfId="0" quotePrefix="1" applyFill="1" applyAlignment="1" applyProtection="1">
      <alignment horizontal="left" indent="1"/>
      <protection locked="0"/>
    </xf>
    <xf numFmtId="2" fontId="0" fillId="2" borderId="0" xfId="0" applyNumberFormat="1" applyFill="1" applyAlignment="1" applyProtection="1">
      <alignment horizontal="center"/>
      <protection locked="0"/>
    </xf>
    <xf numFmtId="0" fontId="0" fillId="2" borderId="0" xfId="0" quotePrefix="1" applyFill="1" applyAlignment="1" applyProtection="1">
      <alignment horizontal="center"/>
      <protection locked="0"/>
    </xf>
    <xf numFmtId="3" fontId="0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41868</xdr:rowOff>
    </xdr:from>
    <xdr:to>
      <xdr:col>10</xdr:col>
      <xdr:colOff>238327</xdr:colOff>
      <xdr:row>3</xdr:row>
      <xdr:rowOff>62802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3901" y="41868"/>
          <a:ext cx="845415" cy="5861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561975</xdr:colOff>
          <xdr:row>39</xdr:row>
          <xdr:rowOff>114300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6"/>
  <sheetViews>
    <sheetView tabSelected="1" topLeftCell="A21" zoomScale="91" zoomScaleNormal="91" workbookViewId="0">
      <selection activeCell="B11" sqref="B11:H11"/>
    </sheetView>
  </sheetViews>
  <sheetFormatPr defaultRowHeight="15" x14ac:dyDescent="0.25"/>
  <cols>
    <col min="1" max="1" width="30.28515625" customWidth="1"/>
    <col min="2" max="2" width="8.28515625" customWidth="1"/>
    <col min="3" max="3" width="18.28515625" customWidth="1"/>
    <col min="4" max="4" width="16.7109375" customWidth="1"/>
    <col min="5" max="5" width="15.28515625" customWidth="1"/>
    <col min="6" max="6" width="10" customWidth="1"/>
    <col min="7" max="7" width="16.42578125" customWidth="1"/>
    <col min="8" max="8" width="7.42578125" customWidth="1"/>
    <col min="9" max="9" width="6.42578125" customWidth="1"/>
    <col min="11" max="11" width="24.42578125" customWidth="1"/>
  </cols>
  <sheetData>
    <row r="1" spans="1:11" x14ac:dyDescent="0.25">
      <c r="A1" s="27" t="s">
        <v>30</v>
      </c>
    </row>
    <row r="2" spans="1:11" x14ac:dyDescent="0.25">
      <c r="A2" s="26"/>
      <c r="B2" s="12"/>
      <c r="K2" s="37"/>
    </row>
    <row r="3" spans="1:11" x14ac:dyDescent="0.25">
      <c r="A3" s="26" t="s">
        <v>35</v>
      </c>
      <c r="B3" s="29" t="s">
        <v>36</v>
      </c>
      <c r="C3" s="12" t="s">
        <v>37</v>
      </c>
    </row>
    <row r="4" spans="1:11" x14ac:dyDescent="0.25">
      <c r="A4" s="26" t="s">
        <v>52</v>
      </c>
      <c r="B4" s="30">
        <v>15</v>
      </c>
      <c r="C4" s="12" t="s">
        <v>31</v>
      </c>
    </row>
    <row r="5" spans="1:11" x14ac:dyDescent="0.25">
      <c r="A5" s="26" t="s">
        <v>48</v>
      </c>
      <c r="B5" s="30">
        <v>26000</v>
      </c>
      <c r="C5" s="12" t="str">
        <f>IF($B$3="IP","tons","tonnes")</f>
        <v>tonnes</v>
      </c>
    </row>
    <row r="6" spans="1:11" x14ac:dyDescent="0.25">
      <c r="A6" s="26" t="s">
        <v>53</v>
      </c>
      <c r="B6" s="29">
        <v>13</v>
      </c>
      <c r="C6" s="12" t="s">
        <v>32</v>
      </c>
    </row>
    <row r="7" spans="1:11" x14ac:dyDescent="0.25">
      <c r="A7" s="26" t="s">
        <v>40</v>
      </c>
      <c r="B7" s="30">
        <v>717</v>
      </c>
      <c r="C7" s="12"/>
    </row>
    <row r="8" spans="1:11" x14ac:dyDescent="0.25">
      <c r="A8" s="26" t="s">
        <v>34</v>
      </c>
      <c r="B8" s="31">
        <v>3400</v>
      </c>
      <c r="C8" s="12" t="str">
        <f>IF($B$3="IP","lb","kg")</f>
        <v>kg</v>
      </c>
    </row>
    <row r="9" spans="1:11" x14ac:dyDescent="0.25">
      <c r="A9" s="26" t="s">
        <v>26</v>
      </c>
      <c r="B9" s="29">
        <v>0</v>
      </c>
      <c r="C9" s="12" t="str">
        <f ca="1">IF($B$3="IP","lb CO2 eq./lb","kg CO2 eq./kg")</f>
        <v>kg CO2 eq./kg</v>
      </c>
    </row>
    <row r="11" spans="1:11" ht="18" customHeight="1" x14ac:dyDescent="0.25">
      <c r="A11" s="4" t="s">
        <v>33</v>
      </c>
      <c r="B11" s="38" t="s">
        <v>75</v>
      </c>
      <c r="C11" s="39"/>
      <c r="D11" s="39"/>
      <c r="E11" s="39"/>
      <c r="F11" s="39"/>
      <c r="G11" s="39"/>
      <c r="H11" s="39"/>
      <c r="I11" s="12"/>
    </row>
    <row r="12" spans="1:11" ht="36.75" customHeight="1" x14ac:dyDescent="0.25">
      <c r="A12" s="15" t="s">
        <v>2</v>
      </c>
      <c r="B12" s="18" t="s">
        <v>41</v>
      </c>
      <c r="C12" s="18" t="s">
        <v>37</v>
      </c>
      <c r="D12" s="7" t="str">
        <f>IF($B$3="IP","Specific Impact (lb CO2 eq. per lb)","Specific Impact (kg CO2 eq. per kg)")</f>
        <v>Specific Impact (kg CO2 eq. per kg)</v>
      </c>
      <c r="E12" s="7" t="s">
        <v>66</v>
      </c>
      <c r="F12" s="7" t="s">
        <v>37</v>
      </c>
      <c r="G12" s="7" t="str">
        <f>IF($B$3="IP","Carbon Footprint (lb CO2 eq.)", "Carbon Footprint (kg CO2 eq.)")</f>
        <v>Carbon Footprint (kg CO2 eq.)</v>
      </c>
      <c r="H12" s="7" t="s">
        <v>27</v>
      </c>
      <c r="I12" s="6"/>
    </row>
    <row r="13" spans="1:11" ht="17.25" customHeight="1" x14ac:dyDescent="0.25">
      <c r="A13" s="4" t="s">
        <v>3</v>
      </c>
      <c r="B13" s="19"/>
      <c r="C13" s="19"/>
      <c r="D13" s="4"/>
    </row>
    <row r="14" spans="1:11" ht="18" customHeight="1" x14ac:dyDescent="0.25">
      <c r="A14" t="s">
        <v>4</v>
      </c>
      <c r="B14" s="12"/>
      <c r="C14" s="12"/>
      <c r="D14" s="12"/>
      <c r="E14" s="12"/>
    </row>
    <row r="15" spans="1:11" ht="14.25" customHeight="1" x14ac:dyDescent="0.25">
      <c r="A15" s="13" t="s">
        <v>11</v>
      </c>
      <c r="B15" s="32">
        <v>2</v>
      </c>
      <c r="C15" s="12" t="s">
        <v>38</v>
      </c>
      <c r="D15" s="16">
        <f>'SI Calculations'!D15*'SI Calculations'!$L$17+'SI Calculations'!$M$17</f>
        <v>0</v>
      </c>
      <c r="E15" s="17">
        <f>'SI Calculations'!E15*'SI Calculations'!$L$13+'SI Calculations'!$M$13</f>
        <v>1020</v>
      </c>
      <c r="F15" s="17" t="str">
        <f>IF($B$3="IP","lb", "kg")</f>
        <v>kg</v>
      </c>
      <c r="G15" s="16">
        <f>'SI Calculations'!G15*'SI Calculations'!$L$13+'SI Calculations'!$M$13</f>
        <v>0</v>
      </c>
    </row>
    <row r="16" spans="1:11" ht="16.5" customHeight="1" x14ac:dyDescent="0.25">
      <c r="A16" s="13" t="s">
        <v>12</v>
      </c>
      <c r="B16" s="32">
        <v>5</v>
      </c>
      <c r="C16" s="12" t="s">
        <v>39</v>
      </c>
      <c r="D16" s="16">
        <f>'SI Calculations'!D16*'SI Calculations'!$L$17+'SI Calculations'!$M$17</f>
        <v>0</v>
      </c>
      <c r="E16" s="17">
        <f>'SI Calculations'!E16*'SI Calculations'!$L$13+'SI Calculations'!$M$13</f>
        <v>170</v>
      </c>
      <c r="F16" s="17" t="str">
        <f>IF($B$3="IP","lb", "kg")</f>
        <v>kg</v>
      </c>
      <c r="G16" s="16">
        <f>'SI Calculations'!G16*'SI Calculations'!$L$13+'SI Calculations'!$M$13</f>
        <v>0</v>
      </c>
    </row>
    <row r="17" spans="1:9" ht="17.25" customHeight="1" x14ac:dyDescent="0.25">
      <c r="A17" s="4" t="s">
        <v>5</v>
      </c>
      <c r="B17" s="19"/>
      <c r="C17" s="19"/>
      <c r="D17" s="19"/>
      <c r="E17" s="19"/>
      <c r="F17" s="23"/>
      <c r="G17" s="22">
        <f>'SI Calculations'!G17*'SI Calculations'!$L$13+'SI Calculations'!$M$13</f>
        <v>0</v>
      </c>
      <c r="H17" s="24">
        <f>'SI Calculations'!H17</f>
        <v>0</v>
      </c>
      <c r="I17" s="11"/>
    </row>
    <row r="18" spans="1:9" ht="14.25" customHeight="1" x14ac:dyDescent="0.25">
      <c r="B18" s="12"/>
      <c r="C18" s="12"/>
      <c r="D18" s="12"/>
      <c r="E18" s="12"/>
      <c r="F18" s="12"/>
      <c r="G18" s="12"/>
    </row>
    <row r="19" spans="1:9" ht="17.25" customHeight="1" x14ac:dyDescent="0.25">
      <c r="A19" s="4" t="s">
        <v>6</v>
      </c>
      <c r="B19" s="12"/>
      <c r="C19" s="12"/>
      <c r="D19" s="12"/>
      <c r="E19" s="12"/>
      <c r="F19" s="12"/>
      <c r="G19" s="12"/>
    </row>
    <row r="20" spans="1:9" ht="13.5" customHeight="1" x14ac:dyDescent="0.25">
      <c r="A20" t="s">
        <v>7</v>
      </c>
      <c r="B20" s="12"/>
      <c r="C20" s="12"/>
      <c r="D20" s="12"/>
      <c r="E20" s="12"/>
      <c r="F20" s="12"/>
      <c r="G20" s="36">
        <f>'SI Calculations'!G20*'SI Calculations'!$L$13+'SI Calculations'!$M$13</f>
        <v>11969440.4</v>
      </c>
      <c r="H20" s="11">
        <f>'SI Calculations'!H20</f>
        <v>0.21165461384231796</v>
      </c>
      <c r="I20" s="10"/>
    </row>
    <row r="21" spans="1:9" ht="16.5" customHeight="1" x14ac:dyDescent="0.25">
      <c r="A21" s="33" t="s">
        <v>49</v>
      </c>
      <c r="B21" s="12"/>
      <c r="C21" s="12" t="s">
        <v>60</v>
      </c>
      <c r="D21" s="29">
        <v>5.1999999999999998E-3</v>
      </c>
      <c r="E21" s="30">
        <v>23000</v>
      </c>
      <c r="F21" s="17" t="str">
        <f>IF($B$3="IP","tons", "tonne")</f>
        <v>tonne</v>
      </c>
      <c r="G21" s="16">
        <f>'SI Calculations'!G21*'SI Calculations'!$L$13+'SI Calculations'!$M$13</f>
        <v>119600</v>
      </c>
    </row>
    <row r="22" spans="1:9" ht="16.5" customHeight="1" x14ac:dyDescent="0.25">
      <c r="A22" s="33" t="s">
        <v>13</v>
      </c>
      <c r="B22" s="12"/>
      <c r="C22" s="12" t="s">
        <v>60</v>
      </c>
      <c r="D22" s="29">
        <f>0.13+0.077</f>
        <v>0.20700000000000002</v>
      </c>
      <c r="E22" s="30">
        <v>25000</v>
      </c>
      <c r="F22" s="17" t="str">
        <f t="shared" ref="F22:F25" si="0">IF($B$3="IP","tons", "tonne")</f>
        <v>tonne</v>
      </c>
      <c r="G22" s="16">
        <f>'SI Calculations'!G22*'SI Calculations'!$L$13+'SI Calculations'!$M$13</f>
        <v>5175000</v>
      </c>
    </row>
    <row r="23" spans="1:9" ht="16.5" customHeight="1" x14ac:dyDescent="0.25">
      <c r="A23" s="33" t="s">
        <v>17</v>
      </c>
      <c r="B23" s="12"/>
      <c r="C23" s="12" t="s">
        <v>59</v>
      </c>
      <c r="D23" s="29">
        <v>0.75</v>
      </c>
      <c r="E23" s="30">
        <v>2300</v>
      </c>
      <c r="F23" s="17" t="str">
        <f t="shared" si="0"/>
        <v>tonne</v>
      </c>
      <c r="G23" s="16">
        <f>'SI Calculations'!G23*'SI Calculations'!$L$13+'SI Calculations'!$M$13</f>
        <v>1725000</v>
      </c>
    </row>
    <row r="24" spans="1:9" ht="15.75" customHeight="1" x14ac:dyDescent="0.25">
      <c r="A24" s="33" t="s">
        <v>18</v>
      </c>
      <c r="B24" s="12"/>
      <c r="C24" s="12" t="s">
        <v>59</v>
      </c>
      <c r="D24" s="29">
        <v>1.8</v>
      </c>
      <c r="E24" s="30">
        <v>2000</v>
      </c>
      <c r="F24" s="17" t="str">
        <f t="shared" si="0"/>
        <v>tonne</v>
      </c>
      <c r="G24" s="16">
        <f>'SI Calculations'!G24*'SI Calculations'!$L$13+'SI Calculations'!$M$13</f>
        <v>3600000</v>
      </c>
    </row>
    <row r="25" spans="1:9" ht="15" customHeight="1" x14ac:dyDescent="0.25">
      <c r="A25" s="33" t="s">
        <v>14</v>
      </c>
      <c r="B25" s="12"/>
      <c r="C25" s="12" t="s">
        <v>59</v>
      </c>
      <c r="D25" s="29">
        <v>3.29</v>
      </c>
      <c r="E25" s="30">
        <v>330</v>
      </c>
      <c r="F25" s="17" t="str">
        <f t="shared" si="0"/>
        <v>tonne</v>
      </c>
      <c r="G25" s="16">
        <f>'SI Calculations'!G25*'SI Calculations'!$L$13+'SI Calculations'!$M$13</f>
        <v>1085700</v>
      </c>
    </row>
    <row r="26" spans="1:9" x14ac:dyDescent="0.25">
      <c r="A26" s="33" t="s">
        <v>15</v>
      </c>
      <c r="B26" s="12"/>
      <c r="C26" s="12" t="s">
        <v>59</v>
      </c>
      <c r="D26" s="29">
        <v>2.8</v>
      </c>
      <c r="E26" s="30">
        <v>3900</v>
      </c>
      <c r="F26" s="17" t="str">
        <f>IF($B$3="IP","lb", "kg")</f>
        <v>kg</v>
      </c>
      <c r="G26" s="16">
        <f>'SI Calculations'!G26*'SI Calculations'!$L$13+'SI Calculations'!$M$13</f>
        <v>10920</v>
      </c>
    </row>
    <row r="27" spans="1:9" ht="16.5" customHeight="1" x14ac:dyDescent="0.25">
      <c r="A27" s="13" t="s">
        <v>20</v>
      </c>
      <c r="B27" s="29">
        <v>0.09</v>
      </c>
      <c r="C27" s="8" t="str">
        <f>IF($B$3="IP","lb CO2 eq./ton-mile", "kg CO2 eq./tonne-km")</f>
        <v>kg CO2 eq./tonne-km</v>
      </c>
      <c r="E27" s="30">
        <v>20</v>
      </c>
      <c r="F27" s="17" t="str">
        <f>IF($B$3="IP","miles", "km")</f>
        <v>km</v>
      </c>
      <c r="G27" s="16">
        <f>'SI Calculations'!G27*'SI Calculations'!$L$13+'SI Calculations'!$M$13</f>
        <v>86400</v>
      </c>
    </row>
    <row r="28" spans="1:9" x14ac:dyDescent="0.25">
      <c r="A28" s="13" t="s">
        <v>19</v>
      </c>
      <c r="B28" s="29">
        <v>0.09</v>
      </c>
      <c r="C28" s="8" t="str">
        <f>IF($B$3="IP","lb CO2 eq./ton-mile", "kg CO2 eq./tonne-km")</f>
        <v>kg CO2 eq./tonne-km</v>
      </c>
      <c r="E28" s="30">
        <v>400</v>
      </c>
      <c r="F28" s="17" t="str">
        <f>IF($B$3="IP","miles", "km")</f>
        <v>km</v>
      </c>
      <c r="G28" s="16">
        <f>'SI Calculations'!G28*'SI Calculations'!$L$13+'SI Calculations'!$M$13</f>
        <v>166820.39999999997</v>
      </c>
    </row>
    <row r="29" spans="1:9" ht="15" customHeight="1" x14ac:dyDescent="0.25">
      <c r="A29" t="s">
        <v>8</v>
      </c>
      <c r="B29" s="12"/>
      <c r="C29" s="12"/>
      <c r="D29" s="12"/>
      <c r="E29" s="12"/>
      <c r="F29" s="12"/>
      <c r="G29" s="36">
        <f>'SI Calculations'!G29*'SI Calculations'!$L$13+'SI Calculations'!$M$13</f>
        <v>166641.12</v>
      </c>
      <c r="H29" s="11">
        <f>'SI Calculations'!H29</f>
        <v>2.9467009922912826E-3</v>
      </c>
      <c r="I29" s="11"/>
    </row>
    <row r="30" spans="1:9" x14ac:dyDescent="0.25">
      <c r="A30" s="13" t="s">
        <v>28</v>
      </c>
      <c r="B30" s="12"/>
      <c r="C30" s="12"/>
      <c r="D30" s="29">
        <v>2</v>
      </c>
      <c r="E30" s="17">
        <f>'SI Calculations'!E30*'SI Calculations'!$L$13+'SI Calculations'!$M$13</f>
        <v>4420</v>
      </c>
      <c r="F30" s="17" t="str">
        <f>IF($B$3="IP","lb", "kg")</f>
        <v>kg</v>
      </c>
      <c r="G30" s="16">
        <f>'SI Calculations'!G30*'SI Calculations'!$L$13+'SI Calculations'!$M$13</f>
        <v>8840</v>
      </c>
    </row>
    <row r="31" spans="1:9" ht="17.25" customHeight="1" x14ac:dyDescent="0.25">
      <c r="A31" s="33" t="s">
        <v>21</v>
      </c>
      <c r="B31" s="12"/>
      <c r="C31" s="12"/>
      <c r="D31" s="29">
        <v>1.8</v>
      </c>
      <c r="E31" s="30">
        <v>70400</v>
      </c>
      <c r="F31" s="17" t="str">
        <f t="shared" ref="F31:F33" si="1">IF($B$3="IP","lb", "kg")</f>
        <v>kg</v>
      </c>
      <c r="G31" s="16">
        <f>'SI Calculations'!G31*'SI Calculations'!$L$13+'SI Calculations'!$M$13</f>
        <v>126720</v>
      </c>
    </row>
    <row r="32" spans="1:9" x14ac:dyDescent="0.25">
      <c r="A32" s="33" t="s">
        <v>22</v>
      </c>
      <c r="B32" s="12"/>
      <c r="C32" s="12"/>
      <c r="D32" s="29">
        <v>12.6</v>
      </c>
      <c r="E32" s="30">
        <v>1600</v>
      </c>
      <c r="F32" s="17" t="str">
        <f t="shared" si="1"/>
        <v>kg</v>
      </c>
      <c r="G32" s="16">
        <f>'SI Calculations'!G32*'SI Calculations'!$L$13+'SI Calculations'!$M$13</f>
        <v>20160</v>
      </c>
    </row>
    <row r="33" spans="1:11" ht="15" customHeight="1" x14ac:dyDescent="0.25">
      <c r="A33" s="33" t="s">
        <v>23</v>
      </c>
      <c r="B33" s="12"/>
      <c r="C33" s="12"/>
      <c r="D33" s="29">
        <v>3</v>
      </c>
      <c r="E33" s="30">
        <v>500</v>
      </c>
      <c r="F33" s="17" t="str">
        <f t="shared" si="1"/>
        <v>kg</v>
      </c>
      <c r="G33" s="16">
        <f>'SI Calculations'!G33*'SI Calculations'!$L$13+'SI Calculations'!$M$13</f>
        <v>1500</v>
      </c>
    </row>
    <row r="34" spans="1:11" ht="15.75" customHeight="1" x14ac:dyDescent="0.25">
      <c r="A34" s="33" t="s">
        <v>15</v>
      </c>
      <c r="B34" s="12"/>
      <c r="C34" s="12"/>
      <c r="D34" s="29">
        <v>3.29</v>
      </c>
      <c r="E34" s="30">
        <f>1800+200</f>
        <v>2000</v>
      </c>
      <c r="F34" s="17" t="str">
        <f>IF($B$3="IP","lb", "kg")</f>
        <v>kg</v>
      </c>
      <c r="G34" s="16">
        <f>'SI Calculations'!G34*'SI Calculations'!$L$13+'SI Calculations'!$M$13</f>
        <v>6580</v>
      </c>
    </row>
    <row r="35" spans="1:11" ht="15.75" customHeight="1" x14ac:dyDescent="0.25">
      <c r="A35" s="13" t="s">
        <v>16</v>
      </c>
      <c r="B35" s="29">
        <v>0.09</v>
      </c>
      <c r="C35" s="8" t="str">
        <f>IF($B$3="IP","lb CO2 eq./ton-mile", "kg CO2 eq./tonne-km")</f>
        <v>kg CO2 eq./tonne-km</v>
      </c>
      <c r="E35" s="35">
        <v>400</v>
      </c>
      <c r="F35" s="17" t="str">
        <f>IF($B$3="IP","miles", "km")</f>
        <v>km</v>
      </c>
      <c r="G35" s="16">
        <f>'SI Calculations'!G35*'SI Calculations'!$L$13+'SI Calculations'!$M$13</f>
        <v>2841.12</v>
      </c>
    </row>
    <row r="36" spans="1:11" ht="15.75" customHeight="1" x14ac:dyDescent="0.25">
      <c r="A36" s="14" t="s">
        <v>24</v>
      </c>
      <c r="B36" s="12"/>
      <c r="C36" s="12"/>
      <c r="D36" s="12"/>
      <c r="E36" s="12"/>
      <c r="F36" s="12"/>
      <c r="G36" s="36">
        <f>'SI Calculations'!G36*'SI Calculations'!$L$13+'SI Calculations'!$M$13</f>
        <v>28750</v>
      </c>
      <c r="H36" s="11">
        <f>'SI Calculations'!H36</f>
        <v>5.0838384624619893E-4</v>
      </c>
      <c r="I36" s="11"/>
    </row>
    <row r="37" spans="1:11" ht="15.75" customHeight="1" x14ac:dyDescent="0.25">
      <c r="A37" s="13" t="s">
        <v>46</v>
      </c>
      <c r="B37" s="12"/>
      <c r="C37" s="12"/>
      <c r="D37" s="29">
        <v>23</v>
      </c>
      <c r="E37" s="30">
        <v>500</v>
      </c>
      <c r="F37" s="17" t="str">
        <f>IF($B$3="IP","lb", "kg")</f>
        <v>kg</v>
      </c>
      <c r="G37" s="16">
        <f>'SI Calculations'!G37*'SI Calculations'!$L$13+'SI Calculations'!$M$13</f>
        <v>11500</v>
      </c>
    </row>
    <row r="38" spans="1:11" ht="15" customHeight="1" x14ac:dyDescent="0.25">
      <c r="A38" s="13" t="s">
        <v>47</v>
      </c>
      <c r="B38" s="34">
        <v>10</v>
      </c>
      <c r="C38" s="12" t="s">
        <v>38</v>
      </c>
      <c r="D38" s="29">
        <v>23</v>
      </c>
      <c r="E38" s="17">
        <f>'SI Calculations'!E38*'SI Calculations'!$L$13+'SI Calculations'!$M$13</f>
        <v>50</v>
      </c>
      <c r="F38" s="17" t="str">
        <f>IF($B$3="IP","lb pa", "kg pa")</f>
        <v>kg pa</v>
      </c>
      <c r="G38" s="16">
        <f>'SI Calculations'!G38*'SI Calculations'!$L$13+'SI Calculations'!$M$13</f>
        <v>17250</v>
      </c>
    </row>
    <row r="39" spans="1:11" ht="18" customHeight="1" x14ac:dyDescent="0.25">
      <c r="A39" t="s">
        <v>9</v>
      </c>
      <c r="B39" s="12"/>
      <c r="C39" s="12"/>
      <c r="D39" s="29">
        <v>1E-3</v>
      </c>
      <c r="E39" s="30">
        <f>12000+100</f>
        <v>12100</v>
      </c>
      <c r="F39" s="17" t="str">
        <f>IF($B$3="IP","gallons pa", "m^3 pa")</f>
        <v>m^3 pa</v>
      </c>
      <c r="G39" s="16">
        <f>'SI Calculations'!G39*'SI Calculations'!$L$13+'SI Calculations'!$M$13</f>
        <v>181500</v>
      </c>
      <c r="H39" s="11">
        <f>'SI Calculations'!H39</f>
        <v>3.2094493249977428E-3</v>
      </c>
      <c r="I39" s="11"/>
    </row>
    <row r="40" spans="1:11" ht="16.5" customHeight="1" x14ac:dyDescent="0.25">
      <c r="A40" t="s">
        <v>29</v>
      </c>
      <c r="B40" s="12"/>
      <c r="C40" s="12"/>
      <c r="D40" s="29">
        <v>0.79</v>
      </c>
      <c r="E40" s="30">
        <v>2493000</v>
      </c>
      <c r="F40" s="16" t="s">
        <v>44</v>
      </c>
      <c r="G40" s="16">
        <f>'SI Calculations'!G40*'SI Calculations'!$L$13+'SI Calculations'!$M$13</f>
        <v>29542050</v>
      </c>
      <c r="H40" s="11">
        <f>'SI Calculations'!H40</f>
        <v>0.52238960017382674</v>
      </c>
      <c r="I40" s="10"/>
      <c r="K40" s="2"/>
    </row>
    <row r="41" spans="1:11" ht="17.25" customHeight="1" x14ac:dyDescent="0.25">
      <c r="A41" t="s">
        <v>25</v>
      </c>
      <c r="B41" s="34">
        <f>0.05222*12/B6</f>
        <v>4.8203076923076932E-2</v>
      </c>
      <c r="C41" s="21" t="s">
        <v>42</v>
      </c>
      <c r="D41" s="29">
        <v>6</v>
      </c>
      <c r="E41" s="16">
        <f>'SI Calculations'!E41*'SI Calculations'!$L$14+'SI Calculations'!$M$14</f>
        <v>162.92640000000003</v>
      </c>
      <c r="F41" s="17" t="str">
        <f>IF($B$3="IP","tons pa", "tonnes pa")</f>
        <v>tonnes pa</v>
      </c>
      <c r="G41" s="16">
        <f>'SI Calculations'!G41*'SI Calculations'!$L$13+'SI Calculations'!$M$13</f>
        <v>14663376.000000002</v>
      </c>
      <c r="H41" s="11">
        <f>'SI Calculations'!H41</f>
        <v>0.25929125182032015</v>
      </c>
      <c r="I41" s="10"/>
    </row>
    <row r="42" spans="1:11" x14ac:dyDescent="0.25">
      <c r="A42" s="4" t="s">
        <v>10</v>
      </c>
      <c r="B42" s="12"/>
      <c r="C42" s="12"/>
      <c r="D42" s="12"/>
      <c r="E42" s="16"/>
      <c r="F42" s="3"/>
      <c r="G42" s="22">
        <f>'SI Calculations'!G42*'SI Calculations'!$L$13+'SI Calculations'!$M$13</f>
        <v>56551757.519999996</v>
      </c>
      <c r="H42" s="24">
        <f>'SI Calculations'!H42</f>
        <v>1</v>
      </c>
      <c r="I42" s="10"/>
    </row>
    <row r="43" spans="1:11" ht="15" customHeight="1" x14ac:dyDescent="0.25">
      <c r="A43" s="5"/>
      <c r="B43" s="20"/>
      <c r="C43" s="20"/>
      <c r="D43" s="12"/>
      <c r="E43" s="12"/>
      <c r="G43" s="16"/>
    </row>
    <row r="44" spans="1:11" ht="18.75" customHeight="1" x14ac:dyDescent="0.25">
      <c r="A44" s="4" t="s">
        <v>55</v>
      </c>
      <c r="B44" s="12"/>
      <c r="C44" s="12"/>
      <c r="D44" s="12"/>
      <c r="E44" s="12"/>
      <c r="G44" s="22">
        <f>'SI Calculations'!G44*'SI Calculations'!$L$13+'SI Calculations'!$M$13</f>
        <v>56551757.519999996</v>
      </c>
      <c r="H44" s="24">
        <f>'SI Calculations'!H44</f>
        <v>1</v>
      </c>
      <c r="I44" s="10"/>
    </row>
    <row r="45" spans="1:11" ht="16.5" customHeight="1" x14ac:dyDescent="0.25">
      <c r="B45" s="12"/>
      <c r="C45" s="12"/>
      <c r="D45" s="12"/>
      <c r="E45" s="12"/>
      <c r="G45" s="12"/>
    </row>
    <row r="46" spans="1:11" x14ac:dyDescent="0.25">
      <c r="A46" s="25" t="s">
        <v>70</v>
      </c>
    </row>
  </sheetData>
  <sheetProtection sheet="1" objects="1" scenarios="1" selectLockedCells="1"/>
  <mergeCells count="1">
    <mergeCell ref="B11:H11"/>
  </mergeCells>
  <dataValidations count="1">
    <dataValidation type="list" allowBlank="1" showInputMessage="1" showErrorMessage="1" sqref="B3">
      <formula1>UnitSystems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46"/>
  <sheetViews>
    <sheetView zoomScale="95" zoomScaleNormal="95" workbookViewId="0">
      <selection activeCell="A21" sqref="A21"/>
    </sheetView>
  </sheetViews>
  <sheetFormatPr defaultRowHeight="15" x14ac:dyDescent="0.25"/>
  <cols>
    <col min="1" max="1" width="29" customWidth="1"/>
    <col min="2" max="2" width="8.28515625" customWidth="1"/>
    <col min="3" max="3" width="17.28515625" customWidth="1"/>
    <col min="4" max="4" width="12.42578125" customWidth="1"/>
    <col min="5" max="6" width="15.28515625" customWidth="1"/>
    <col min="7" max="7" width="14.5703125" customWidth="1"/>
    <col min="8" max="8" width="7" customWidth="1"/>
    <col min="9" max="9" width="6.42578125" customWidth="1"/>
    <col min="11" max="11" width="24.42578125" customWidth="1"/>
  </cols>
  <sheetData>
    <row r="1" spans="1:13" x14ac:dyDescent="0.25">
      <c r="A1" s="27" t="s">
        <v>30</v>
      </c>
    </row>
    <row r="2" spans="1:13" x14ac:dyDescent="0.25">
      <c r="A2" s="26"/>
      <c r="B2" s="12"/>
      <c r="C2" s="12" t="s">
        <v>37</v>
      </c>
    </row>
    <row r="3" spans="1:13" x14ac:dyDescent="0.25">
      <c r="A3" s="26" t="s">
        <v>35</v>
      </c>
      <c r="B3" s="29" t="str">
        <f>'Data &amp; Results'!B3</f>
        <v>SI</v>
      </c>
      <c r="C3" s="12"/>
    </row>
    <row r="4" spans="1:13" x14ac:dyDescent="0.25">
      <c r="A4" s="26" t="s">
        <v>52</v>
      </c>
      <c r="B4" s="30">
        <f>'Data &amp; Results'!B4</f>
        <v>15</v>
      </c>
      <c r="C4" s="12" t="s">
        <v>31</v>
      </c>
    </row>
    <row r="5" spans="1:13" x14ac:dyDescent="0.25">
      <c r="A5" s="26" t="s">
        <v>48</v>
      </c>
      <c r="B5" s="30">
        <f>('Data &amp; Results'!B5-'SI Calculations'!$M$14)/'SI Calculations'!$L$14</f>
        <v>26000</v>
      </c>
      <c r="C5" s="12" t="s">
        <v>0</v>
      </c>
    </row>
    <row r="6" spans="1:13" x14ac:dyDescent="0.25">
      <c r="A6" s="26" t="s">
        <v>53</v>
      </c>
      <c r="B6" s="30">
        <f>'Data &amp; Results'!B6</f>
        <v>13</v>
      </c>
      <c r="C6" s="12" t="s">
        <v>32</v>
      </c>
    </row>
    <row r="7" spans="1:13" x14ac:dyDescent="0.25">
      <c r="A7" s="26" t="s">
        <v>40</v>
      </c>
      <c r="B7" s="30">
        <f>'Data &amp; Results'!B7</f>
        <v>717</v>
      </c>
      <c r="C7" s="12"/>
    </row>
    <row r="8" spans="1:13" x14ac:dyDescent="0.25">
      <c r="A8" s="26" t="s">
        <v>34</v>
      </c>
      <c r="B8" s="31">
        <f>('Data &amp; Results'!B8-'SI Calculations'!$M$13)/'SI Calculations'!$L$13</f>
        <v>3400</v>
      </c>
      <c r="C8" s="12" t="s">
        <v>1</v>
      </c>
    </row>
    <row r="9" spans="1:13" ht="18" x14ac:dyDescent="0.35">
      <c r="A9" s="26" t="s">
        <v>26</v>
      </c>
      <c r="B9" s="29">
        <f>('Data &amp; Results'!B9-'SI Calculations'!$M$17)/'SI Calculations'!$L$17</f>
        <v>0</v>
      </c>
      <c r="C9" s="12" t="s">
        <v>54</v>
      </c>
    </row>
    <row r="11" spans="1:13" ht="18" customHeight="1" x14ac:dyDescent="0.25">
      <c r="A11" s="4" t="s">
        <v>33</v>
      </c>
      <c r="B11" s="38" t="str">
        <f>'Data &amp; Results'!B11:H11</f>
        <v>Reference Example - Pump-Circulation Ammonia</v>
      </c>
      <c r="C11" s="39"/>
      <c r="D11" s="39"/>
      <c r="E11" s="39"/>
      <c r="F11" s="39"/>
      <c r="G11" s="39"/>
      <c r="H11" s="39"/>
      <c r="I11" s="12"/>
    </row>
    <row r="12" spans="1:13" ht="36.75" customHeight="1" x14ac:dyDescent="0.25">
      <c r="A12" s="15" t="s">
        <v>2</v>
      </c>
      <c r="B12" s="18" t="s">
        <v>41</v>
      </c>
      <c r="C12" s="18" t="s">
        <v>37</v>
      </c>
      <c r="D12" s="7" t="s">
        <v>67</v>
      </c>
      <c r="E12" s="7" t="s">
        <v>66</v>
      </c>
      <c r="F12" s="7" t="s">
        <v>37</v>
      </c>
      <c r="G12" s="7" t="s">
        <v>68</v>
      </c>
      <c r="H12" s="7" t="s">
        <v>27</v>
      </c>
      <c r="I12" s="6"/>
      <c r="K12" t="s">
        <v>56</v>
      </c>
      <c r="L12" t="s">
        <v>57</v>
      </c>
      <c r="M12" t="s">
        <v>58</v>
      </c>
    </row>
    <row r="13" spans="1:13" ht="17.25" customHeight="1" x14ac:dyDescent="0.25">
      <c r="A13" s="4" t="s">
        <v>3</v>
      </c>
      <c r="B13" s="19"/>
      <c r="C13" s="19"/>
      <c r="D13" s="4"/>
      <c r="K13" t="s">
        <v>61</v>
      </c>
      <c r="L13">
        <f>IF($B$3="IP",2.204624,1)</f>
        <v>1</v>
      </c>
      <c r="M13">
        <f>IF($B$3="IP",0,0)</f>
        <v>0</v>
      </c>
    </row>
    <row r="14" spans="1:13" ht="18" customHeight="1" x14ac:dyDescent="0.25">
      <c r="A14" t="s">
        <v>4</v>
      </c>
      <c r="B14" s="12"/>
      <c r="C14" s="12"/>
      <c r="D14" s="12"/>
      <c r="E14" s="12"/>
      <c r="K14" t="s">
        <v>62</v>
      </c>
      <c r="L14">
        <f>IF($B$3="IP",1/0.9071852,1)</f>
        <v>1</v>
      </c>
      <c r="M14">
        <f t="shared" ref="M14:M17" si="0">IF($B$3="IP",0,0)</f>
        <v>0</v>
      </c>
    </row>
    <row r="15" spans="1:13" ht="14.25" customHeight="1" x14ac:dyDescent="0.25">
      <c r="A15" s="13" t="s">
        <v>11</v>
      </c>
      <c r="B15" s="34">
        <f>'Data &amp; Results'!B15</f>
        <v>2</v>
      </c>
      <c r="C15" s="12" t="s">
        <v>38</v>
      </c>
      <c r="D15" s="16">
        <f>$B$9</f>
        <v>0</v>
      </c>
      <c r="E15" s="17">
        <f>B15/100*$B$8*$B$4</f>
        <v>1020</v>
      </c>
      <c r="F15" s="8" t="s">
        <v>1</v>
      </c>
      <c r="G15" s="16">
        <f>E15*D15</f>
        <v>0</v>
      </c>
      <c r="K15" t="s">
        <v>63</v>
      </c>
      <c r="L15">
        <f>IF($B$3="IP",(2.204624)/1.102312/0.621371,1)</f>
        <v>1</v>
      </c>
      <c r="M15">
        <f t="shared" si="0"/>
        <v>0</v>
      </c>
    </row>
    <row r="16" spans="1:13" ht="16.5" customHeight="1" x14ac:dyDescent="0.25">
      <c r="A16" s="13" t="s">
        <v>12</v>
      </c>
      <c r="B16" s="34">
        <f>'Data &amp; Results'!B16</f>
        <v>5</v>
      </c>
      <c r="C16" s="12" t="s">
        <v>39</v>
      </c>
      <c r="D16" s="16">
        <f>$B$9</f>
        <v>0</v>
      </c>
      <c r="E16" s="17">
        <f>B16/100*$B$8</f>
        <v>170</v>
      </c>
      <c r="F16" s="8" t="s">
        <v>1</v>
      </c>
      <c r="G16" s="16">
        <f>E16*B9</f>
        <v>0</v>
      </c>
      <c r="K16" t="s">
        <v>64</v>
      </c>
      <c r="L16">
        <f>IF($B$3="IP",0.621371,1)</f>
        <v>1</v>
      </c>
      <c r="M16">
        <f t="shared" si="0"/>
        <v>0</v>
      </c>
    </row>
    <row r="17" spans="1:13" ht="17.25" customHeight="1" x14ac:dyDescent="0.25">
      <c r="A17" s="4" t="s">
        <v>5</v>
      </c>
      <c r="B17" s="19"/>
      <c r="C17" s="19"/>
      <c r="D17" s="19"/>
      <c r="E17" s="19"/>
      <c r="F17" s="4"/>
      <c r="G17" s="22">
        <f>SUM(G15:G16)</f>
        <v>0</v>
      </c>
      <c r="H17" s="24">
        <f>G17/$G$44</f>
        <v>0</v>
      </c>
      <c r="I17" s="11"/>
      <c r="K17" t="s">
        <v>69</v>
      </c>
      <c r="L17">
        <f>IF($B$3="IP",1,1)</f>
        <v>1</v>
      </c>
      <c r="M17">
        <f t="shared" si="0"/>
        <v>0</v>
      </c>
    </row>
    <row r="18" spans="1:13" ht="14.25" customHeight="1" x14ac:dyDescent="0.25">
      <c r="B18" s="12"/>
      <c r="C18" s="12"/>
      <c r="D18" s="12"/>
      <c r="E18" s="12"/>
      <c r="G18" s="12"/>
      <c r="H18" s="9"/>
      <c r="K18" t="s">
        <v>72</v>
      </c>
      <c r="L18">
        <f>IF($B$3="IP",1/0.00378541,1)</f>
        <v>1</v>
      </c>
      <c r="M18">
        <v>0</v>
      </c>
    </row>
    <row r="19" spans="1:13" ht="17.25" customHeight="1" x14ac:dyDescent="0.25">
      <c r="A19" s="4" t="s">
        <v>6</v>
      </c>
      <c r="B19" s="12"/>
      <c r="C19" s="12"/>
      <c r="D19" s="12"/>
      <c r="E19" s="12"/>
      <c r="G19" s="12"/>
      <c r="H19" s="9"/>
    </row>
    <row r="20" spans="1:13" ht="13.5" customHeight="1" x14ac:dyDescent="0.25">
      <c r="A20" t="s">
        <v>7</v>
      </c>
      <c r="B20" s="12"/>
      <c r="C20" s="12"/>
      <c r="D20" s="12"/>
      <c r="E20" s="12"/>
      <c r="G20" s="16">
        <f>SUM(G21:G28)</f>
        <v>11969440.4</v>
      </c>
      <c r="H20" s="11">
        <f>G20/$G$44</f>
        <v>0.21165461384231796</v>
      </c>
      <c r="I20" s="10"/>
      <c r="K20" t="s">
        <v>74</v>
      </c>
      <c r="L20" t="s">
        <v>36</v>
      </c>
    </row>
    <row r="21" spans="1:13" ht="16.5" customHeight="1" x14ac:dyDescent="0.25">
      <c r="A21" s="33" t="str">
        <f>'Data &amp; Results'!A21</f>
        <v>- aggregate (fill)</v>
      </c>
      <c r="B21" s="12"/>
      <c r="C21" s="12" t="s">
        <v>60</v>
      </c>
      <c r="D21" s="29">
        <f>('Data &amp; Results'!D21-'SI Calculations'!$M$17)/'SI Calculations'!$L$17</f>
        <v>5.1999999999999998E-3</v>
      </c>
      <c r="E21" s="30">
        <f>('Data &amp; Results'!E21-'SI Calculations'!$M$14)/'SI Calculations'!$L$14</f>
        <v>23000</v>
      </c>
      <c r="F21" s="2" t="s">
        <v>0</v>
      </c>
      <c r="G21" s="16">
        <f>E21*1000*D21</f>
        <v>119600</v>
      </c>
      <c r="H21" s="9"/>
      <c r="L21" t="s">
        <v>73</v>
      </c>
    </row>
    <row r="22" spans="1:13" ht="16.5" customHeight="1" x14ac:dyDescent="0.25">
      <c r="A22" s="33" t="str">
        <f>'Data &amp; Results'!A22</f>
        <v>- concrete</v>
      </c>
      <c r="B22" s="12"/>
      <c r="C22" s="12" t="s">
        <v>60</v>
      </c>
      <c r="D22" s="29">
        <f>('Data &amp; Results'!D22-'SI Calculations'!$M$17)/'SI Calculations'!$L$17</f>
        <v>0.20700000000000002</v>
      </c>
      <c r="E22" s="30">
        <f>('Data &amp; Results'!E22-'SI Calculations'!$M$14)/'SI Calculations'!$L$14</f>
        <v>25000</v>
      </c>
      <c r="F22" s="2" t="s">
        <v>0</v>
      </c>
      <c r="G22" s="16">
        <f>E22*1000*(B22+D22)</f>
        <v>5175000</v>
      </c>
      <c r="H22" s="9"/>
    </row>
    <row r="23" spans="1:13" ht="16.5" customHeight="1" x14ac:dyDescent="0.25">
      <c r="A23" s="33" t="str">
        <f>'Data &amp; Results'!A23</f>
        <v>- steel (structural)</v>
      </c>
      <c r="B23" s="12"/>
      <c r="C23" s="12" t="s">
        <v>59</v>
      </c>
      <c r="D23" s="29">
        <f>('Data &amp; Results'!D23-'SI Calculations'!$M$17)/'SI Calculations'!$L$17</f>
        <v>0.75</v>
      </c>
      <c r="E23" s="30">
        <f>('Data &amp; Results'!E23-'SI Calculations'!$M$14)/'SI Calculations'!$L$14</f>
        <v>2300</v>
      </c>
      <c r="F23" s="2" t="s">
        <v>0</v>
      </c>
      <c r="G23" s="16">
        <f t="shared" ref="G23:G25" si="1">E23*1000*D23</f>
        <v>1725000</v>
      </c>
      <c r="H23" s="9"/>
    </row>
    <row r="24" spans="1:13" ht="15.75" customHeight="1" x14ac:dyDescent="0.25">
      <c r="A24" s="33" t="str">
        <f>'Data &amp; Results'!A24</f>
        <v>- steel (racking)</v>
      </c>
      <c r="B24" s="12"/>
      <c r="C24" s="12" t="s">
        <v>59</v>
      </c>
      <c r="D24" s="29">
        <f>('Data &amp; Results'!D24-'SI Calculations'!$M$17)/'SI Calculations'!$L$17</f>
        <v>1.8</v>
      </c>
      <c r="E24" s="30">
        <f>('Data &amp; Results'!E24-'SI Calculations'!$M$14)/'SI Calculations'!$L$14</f>
        <v>2000</v>
      </c>
      <c r="F24" s="2" t="s">
        <v>0</v>
      </c>
      <c r="G24" s="16">
        <f t="shared" si="1"/>
        <v>3600000</v>
      </c>
      <c r="H24" s="9"/>
    </row>
    <row r="25" spans="1:13" ht="15" customHeight="1" x14ac:dyDescent="0.25">
      <c r="A25" s="33" t="str">
        <f>'Data &amp; Results'!A25</f>
        <v>- polystyrene</v>
      </c>
      <c r="B25" s="12"/>
      <c r="C25" s="12" t="s">
        <v>59</v>
      </c>
      <c r="D25" s="29">
        <f>('Data &amp; Results'!D25-'SI Calculations'!$M$17)/'SI Calculations'!$L$17</f>
        <v>3.29</v>
      </c>
      <c r="E25" s="30">
        <f>('Data &amp; Results'!E25-'SI Calculations'!$M$14)/'SI Calculations'!$L$14</f>
        <v>330</v>
      </c>
      <c r="F25" s="2" t="s">
        <v>0</v>
      </c>
      <c r="G25" s="16">
        <f t="shared" si="1"/>
        <v>1085700</v>
      </c>
      <c r="H25" s="9"/>
    </row>
    <row r="26" spans="1:13" x14ac:dyDescent="0.25">
      <c r="A26" s="33" t="str">
        <f>'Data &amp; Results'!A26</f>
        <v>- plastic</v>
      </c>
      <c r="B26" s="12"/>
      <c r="C26" s="12" t="s">
        <v>59</v>
      </c>
      <c r="D26" s="29">
        <f>('Data &amp; Results'!D26-'SI Calculations'!$M$17)/'SI Calculations'!$L$17</f>
        <v>2.8</v>
      </c>
      <c r="E26" s="31">
        <f>('Data &amp; Results'!E26-'SI Calculations'!$M$13)/'SI Calculations'!$L$13</f>
        <v>3900</v>
      </c>
      <c r="F26" s="2" t="s">
        <v>1</v>
      </c>
      <c r="G26" s="16">
        <f>E26*D26</f>
        <v>10920</v>
      </c>
      <c r="H26" s="9"/>
    </row>
    <row r="27" spans="1:13" ht="16.5" customHeight="1" x14ac:dyDescent="0.35">
      <c r="A27" s="13" t="s">
        <v>20</v>
      </c>
      <c r="B27" s="29">
        <f>('Data &amp; Results'!B27-'SI Calculations'!$M$15)/'SI Calculations'!$L$15</f>
        <v>0.09</v>
      </c>
      <c r="C27" s="12" t="s">
        <v>50</v>
      </c>
      <c r="E27" s="30">
        <f>('Data &amp; Results'!E27-'SI Calculations'!$M$16)/'SI Calculations'!$L$16</f>
        <v>20</v>
      </c>
      <c r="F27" s="2" t="s">
        <v>45</v>
      </c>
      <c r="G27" s="16">
        <f>SUM(E21:E22)*E27*B27</f>
        <v>86400</v>
      </c>
      <c r="H27" s="9"/>
    </row>
    <row r="28" spans="1:13" ht="18" x14ac:dyDescent="0.35">
      <c r="A28" s="13" t="s">
        <v>19</v>
      </c>
      <c r="B28" s="29">
        <f>('Data &amp; Results'!B28-'SI Calculations'!$M$15)/'SI Calculations'!$L$15</f>
        <v>0.09</v>
      </c>
      <c r="C28" s="12" t="s">
        <v>50</v>
      </c>
      <c r="E28" s="30">
        <f>('Data &amp; Results'!E28-'SI Calculations'!$M$16)/'SI Calculations'!$L$16</f>
        <v>400</v>
      </c>
      <c r="F28" s="2" t="s">
        <v>45</v>
      </c>
      <c r="G28" s="16">
        <f>(E23+E24+E25+E26/1000)*E28*B28</f>
        <v>166820.39999999997</v>
      </c>
      <c r="H28" s="9"/>
    </row>
    <row r="29" spans="1:13" ht="15" customHeight="1" x14ac:dyDescent="0.25">
      <c r="A29" t="s">
        <v>8</v>
      </c>
      <c r="B29" s="12"/>
      <c r="C29" s="12"/>
      <c r="D29" s="12"/>
      <c r="E29" s="12"/>
      <c r="G29" s="16">
        <f>SUM(G30:G35)</f>
        <v>166641.12</v>
      </c>
      <c r="H29" s="11">
        <f>G29/$G$44</f>
        <v>2.9467009922912826E-3</v>
      </c>
      <c r="I29" s="11"/>
    </row>
    <row r="30" spans="1:13" x14ac:dyDescent="0.25">
      <c r="A30" s="13" t="s">
        <v>28</v>
      </c>
      <c r="B30" s="12"/>
      <c r="C30" s="12"/>
      <c r="D30" s="29">
        <f>('Data &amp; Results'!D30-'SI Calculations'!$M$17)/'SI Calculations'!$L$17</f>
        <v>2</v>
      </c>
      <c r="E30" s="28">
        <f>B8+E15</f>
        <v>4420</v>
      </c>
      <c r="F30" s="2" t="s">
        <v>1</v>
      </c>
      <c r="G30" s="16">
        <f>E30*D30</f>
        <v>8840</v>
      </c>
      <c r="H30" s="9"/>
    </row>
    <row r="31" spans="1:13" ht="17.25" customHeight="1" x14ac:dyDescent="0.25">
      <c r="A31" s="33" t="str">
        <f>'Data &amp; Results'!A31</f>
        <v>- steel</v>
      </c>
      <c r="B31" s="12"/>
      <c r="C31" s="12"/>
      <c r="D31" s="29">
        <f>('Data &amp; Results'!D31-'SI Calculations'!$M$17)/'SI Calculations'!$L$17</f>
        <v>1.8</v>
      </c>
      <c r="E31" s="31">
        <f>('Data &amp; Results'!E31-'SI Calculations'!$M$13)/'SI Calculations'!$L$13</f>
        <v>70400</v>
      </c>
      <c r="F31" s="2" t="s">
        <v>1</v>
      </c>
      <c r="G31" s="16">
        <f>E31*D31</f>
        <v>126720</v>
      </c>
      <c r="H31" s="9"/>
    </row>
    <row r="32" spans="1:13" x14ac:dyDescent="0.25">
      <c r="A32" s="33" t="str">
        <f>'Data &amp; Results'!A32</f>
        <v>- aluminium</v>
      </c>
      <c r="B32" s="12"/>
      <c r="C32" s="12"/>
      <c r="D32" s="29">
        <f>('Data &amp; Results'!D32-'SI Calculations'!$M$17)/'SI Calculations'!$L$17</f>
        <v>12.6</v>
      </c>
      <c r="E32" s="31">
        <f>('Data &amp; Results'!E32-'SI Calculations'!$M$13)/'SI Calculations'!$L$13</f>
        <v>1600</v>
      </c>
      <c r="F32" s="2" t="s">
        <v>1</v>
      </c>
      <c r="G32" s="16">
        <f>E32*D32</f>
        <v>20160</v>
      </c>
      <c r="H32" s="9"/>
    </row>
    <row r="33" spans="1:11" ht="15" customHeight="1" x14ac:dyDescent="0.25">
      <c r="A33" s="33" t="str">
        <f>'Data &amp; Results'!A33</f>
        <v>- copper</v>
      </c>
      <c r="B33" s="12"/>
      <c r="C33" s="12"/>
      <c r="D33" s="29">
        <f>('Data &amp; Results'!D33-'SI Calculations'!$M$17)/'SI Calculations'!$L$17</f>
        <v>3</v>
      </c>
      <c r="E33" s="31">
        <f>('Data &amp; Results'!E33-'SI Calculations'!$M$13)/'SI Calculations'!$L$13</f>
        <v>500</v>
      </c>
      <c r="F33" s="2" t="s">
        <v>1</v>
      </c>
      <c r="G33" s="16">
        <f>E33*D33</f>
        <v>1500</v>
      </c>
      <c r="H33" s="9"/>
    </row>
    <row r="34" spans="1:11" ht="15.75" customHeight="1" x14ac:dyDescent="0.25">
      <c r="A34" s="33" t="str">
        <f>'Data &amp; Results'!A34</f>
        <v>- plastic</v>
      </c>
      <c r="B34" s="12"/>
      <c r="C34" s="12"/>
      <c r="D34" s="29">
        <f>('Data &amp; Results'!D34-'SI Calculations'!$M$17)/'SI Calculations'!$L$17</f>
        <v>3.29</v>
      </c>
      <c r="E34" s="31">
        <f>('Data &amp; Results'!E34-'SI Calculations'!$M$13)/'SI Calculations'!$L$13</f>
        <v>2000</v>
      </c>
      <c r="F34" s="1" t="s">
        <v>1</v>
      </c>
      <c r="G34" s="16">
        <f>E34*D34</f>
        <v>6580</v>
      </c>
      <c r="H34" s="9"/>
    </row>
    <row r="35" spans="1:11" ht="15.75" customHeight="1" x14ac:dyDescent="0.35">
      <c r="A35" s="13" t="s">
        <v>16</v>
      </c>
      <c r="B35" s="29">
        <f>('Data &amp; Results'!B35-'SI Calculations'!$M$15)/'SI Calculations'!$L$15</f>
        <v>0.09</v>
      </c>
      <c r="C35" s="12" t="s">
        <v>50</v>
      </c>
      <c r="E35" s="30">
        <f>('Data &amp; Results'!E35-'SI Calculations'!$M$16)/'SI Calculations'!$L$16</f>
        <v>400</v>
      </c>
      <c r="F35" s="2" t="s">
        <v>45</v>
      </c>
      <c r="G35" s="16">
        <f>(SUM(E30:E34))/1000*E35*B35</f>
        <v>2841.12</v>
      </c>
      <c r="H35" s="9"/>
    </row>
    <row r="36" spans="1:11" ht="15.75" customHeight="1" x14ac:dyDescent="0.25">
      <c r="A36" s="14" t="s">
        <v>24</v>
      </c>
      <c r="B36" s="12"/>
      <c r="C36" s="12"/>
      <c r="D36" s="12"/>
      <c r="E36" s="12"/>
      <c r="G36" s="16">
        <f>SUM(G37:G38)</f>
        <v>28750</v>
      </c>
      <c r="H36" s="11">
        <f>G36/$G$44</f>
        <v>5.0838384624619893E-4</v>
      </c>
      <c r="I36" s="11"/>
    </row>
    <row r="37" spans="1:11" ht="15.75" customHeight="1" x14ac:dyDescent="0.25">
      <c r="A37" s="13" t="s">
        <v>46</v>
      </c>
      <c r="B37" s="12"/>
      <c r="C37" s="12"/>
      <c r="D37" s="29">
        <f>('Data &amp; Results'!D37-'SI Calculations'!$M$17)/'SI Calculations'!$L$17</f>
        <v>23</v>
      </c>
      <c r="E37" s="31">
        <f>('Data &amp; Results'!E37-'SI Calculations'!$M$13)/'SI Calculations'!$L$13</f>
        <v>500</v>
      </c>
      <c r="F37" s="2" t="s">
        <v>1</v>
      </c>
      <c r="G37" s="16">
        <f>E37*D37</f>
        <v>11500</v>
      </c>
      <c r="H37" s="9"/>
    </row>
    <row r="38" spans="1:11" ht="15" customHeight="1" x14ac:dyDescent="0.25">
      <c r="A38" s="13" t="s">
        <v>47</v>
      </c>
      <c r="B38" s="34">
        <f>'Data &amp; Results'!B38</f>
        <v>10</v>
      </c>
      <c r="C38" s="12" t="s">
        <v>38</v>
      </c>
      <c r="D38" s="29">
        <f>('Data &amp; Results'!D38-'SI Calculations'!$M$17)/'SI Calculations'!$L$17</f>
        <v>23</v>
      </c>
      <c r="E38" s="16">
        <f>E37*B38/100</f>
        <v>50</v>
      </c>
      <c r="F38" s="2" t="s">
        <v>43</v>
      </c>
      <c r="G38" s="16">
        <f>E38*$B$4*D38</f>
        <v>17250</v>
      </c>
      <c r="H38" s="9"/>
    </row>
    <row r="39" spans="1:11" ht="18" customHeight="1" x14ac:dyDescent="0.25">
      <c r="A39" t="s">
        <v>9</v>
      </c>
      <c r="B39" s="12"/>
      <c r="C39" s="12"/>
      <c r="D39" s="29">
        <f>('Data &amp; Results'!D39-'SI Calculations'!$M$17)/'SI Calculations'!$L$17</f>
        <v>1E-3</v>
      </c>
      <c r="E39" s="31">
        <f>('Data &amp; Results'!E39-'SI Calculations'!$M$18)/'SI Calculations'!$L$18</f>
        <v>12100</v>
      </c>
      <c r="F39" s="2" t="s">
        <v>71</v>
      </c>
      <c r="G39" s="16">
        <f>E39*$B$4*1000*D39</f>
        <v>181500</v>
      </c>
      <c r="H39" s="11">
        <f t="shared" ref="H39" si="2">G39/$G$44</f>
        <v>3.2094493249977428E-3</v>
      </c>
      <c r="I39" s="11"/>
    </row>
    <row r="40" spans="1:11" ht="16.5" customHeight="1" x14ac:dyDescent="0.25">
      <c r="A40" t="s">
        <v>29</v>
      </c>
      <c r="B40" s="12"/>
      <c r="C40" s="12"/>
      <c r="D40" s="29">
        <f>('Data &amp; Results'!D40-'SI Calculations'!$M$17)/'SI Calculations'!$L$17</f>
        <v>0.79</v>
      </c>
      <c r="E40" s="30">
        <f>'Data &amp; Results'!E40</f>
        <v>2493000</v>
      </c>
      <c r="F40" s="2" t="s">
        <v>44</v>
      </c>
      <c r="G40" s="16">
        <f>E40*$B$4*D40</f>
        <v>29542050</v>
      </c>
      <c r="H40" s="11">
        <f>G40/$G$44</f>
        <v>0.52238960017382674</v>
      </c>
      <c r="I40" s="10"/>
      <c r="K40" s="2"/>
    </row>
    <row r="41" spans="1:11" ht="17.25" customHeight="1" x14ac:dyDescent="0.25">
      <c r="A41" t="s">
        <v>25</v>
      </c>
      <c r="B41" s="34">
        <f>'Data &amp; Results'!B41</f>
        <v>4.8203076923076932E-2</v>
      </c>
      <c r="C41" s="21" t="s">
        <v>42</v>
      </c>
      <c r="D41" s="29">
        <f>('Data &amp; Results'!D41-'SI Calculations'!$M$17)/'SI Calculations'!$L$17</f>
        <v>6</v>
      </c>
      <c r="E41" s="16">
        <f>$B$5*$B$6*B41/100</f>
        <v>162.92640000000003</v>
      </c>
      <c r="F41" s="2" t="s">
        <v>51</v>
      </c>
      <c r="G41" s="16">
        <f>E41*1000*D41*$B$4</f>
        <v>14663376.000000002</v>
      </c>
      <c r="H41" s="11">
        <f>G41/$G$44</f>
        <v>0.25929125182032015</v>
      </c>
      <c r="I41" s="10"/>
    </row>
    <row r="42" spans="1:11" x14ac:dyDescent="0.25">
      <c r="A42" s="4" t="s">
        <v>10</v>
      </c>
      <c r="B42" s="12"/>
      <c r="C42" s="12"/>
      <c r="D42" s="12"/>
      <c r="E42" s="16"/>
      <c r="F42" s="3"/>
      <c r="G42" s="22">
        <f>G41+G40+G39+G36+G29+G20</f>
        <v>56551757.519999996</v>
      </c>
      <c r="H42" s="24">
        <f>G42/$G$44</f>
        <v>1</v>
      </c>
      <c r="I42" s="10"/>
    </row>
    <row r="43" spans="1:11" ht="15" customHeight="1" x14ac:dyDescent="0.25">
      <c r="A43" s="5"/>
      <c r="B43" s="20"/>
      <c r="C43" s="20"/>
      <c r="D43" s="12"/>
      <c r="E43" s="12"/>
      <c r="G43" s="16"/>
    </row>
    <row r="44" spans="1:11" ht="18.75" customHeight="1" x14ac:dyDescent="0.25">
      <c r="A44" s="4" t="s">
        <v>55</v>
      </c>
      <c r="B44" s="12"/>
      <c r="C44" s="12"/>
      <c r="D44" s="12"/>
      <c r="E44" s="12"/>
      <c r="G44" s="22">
        <f>G42+G17</f>
        <v>56551757.519999996</v>
      </c>
      <c r="H44" s="24">
        <f>G44/$G$44</f>
        <v>1</v>
      </c>
      <c r="I44" s="10"/>
    </row>
    <row r="45" spans="1:11" ht="16.5" customHeight="1" x14ac:dyDescent="0.25">
      <c r="B45" s="12"/>
      <c r="C45" s="12"/>
      <c r="D45" s="12"/>
      <c r="E45" s="12"/>
      <c r="G45" s="12"/>
    </row>
    <row r="46" spans="1:11" x14ac:dyDescent="0.25">
      <c r="A46" s="25" t="s">
        <v>65</v>
      </c>
    </row>
  </sheetData>
  <sheetProtection sheet="1" objects="1" scenarios="1" selectLockedCells="1"/>
  <mergeCells count="1">
    <mergeCell ref="B11:H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K5"/>
  <sheetViews>
    <sheetView zoomScale="68" zoomScaleNormal="68" workbookViewId="0"/>
  </sheetViews>
  <sheetFormatPr defaultRowHeight="15" x14ac:dyDescent="0.25"/>
  <cols>
    <col min="1" max="1" width="5.85546875" customWidth="1"/>
  </cols>
  <sheetData>
    <row r="5" spans="11:11" x14ac:dyDescent="0.25">
      <c r="K5" s="4" t="s">
        <v>76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.Document.11" shapeId="3079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561975</xdr:colOff>
                <xdr:row>39</xdr:row>
                <xdr:rowOff>114300</xdr:rowOff>
              </to>
            </anchor>
          </objectPr>
        </oleObject>
      </mc:Choice>
      <mc:Fallback>
        <oleObject progId="Acrobat.Document.11" shapeId="307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 &amp; Results</vt:lpstr>
      <vt:lpstr>SI Calculations</vt:lpstr>
      <vt:lpstr>Disclaimer and Help</vt:lpstr>
      <vt:lpstr>'Disclaimer and Help'!_Toc460222140</vt:lpstr>
      <vt:lpstr>UnitSystems</vt:lpstr>
    </vt:vector>
  </TitlesOfParts>
  <Company>Sinclair Knight Merz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iconnor</dc:creator>
  <cp:lastModifiedBy>Ramsdell, Lauren</cp:lastModifiedBy>
  <cp:lastPrinted>2015-11-26T03:05:56Z</cp:lastPrinted>
  <dcterms:created xsi:type="dcterms:W3CDTF">2008-12-21T20:40:55Z</dcterms:created>
  <dcterms:modified xsi:type="dcterms:W3CDTF">2018-06-05T13:50:25Z</dcterms:modified>
</cp:coreProperties>
</file>