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Vision 2030\"/>
    </mc:Choice>
  </mc:AlternateContent>
  <xr:revisionPtr revIDLastSave="0" documentId="8_{EE4D30B5-37C4-4662-A758-7B27AAEA27AA}" xr6:coauthVersionLast="45" xr6:coauthVersionMax="45" xr10:uidLastSave="{00000000-0000-0000-0000-000000000000}"/>
  <workbookProtection workbookAlgorithmName="SHA-512" workbookHashValue="QO6fwRqbqhyvt5LUoPQ4bpuOjrc5RJDc8rbUNv9qawUB3msXGdXoK85L1J0mSdRzmQffgAiPK73HK3sPgofQQA==" workbookSaltValue="WMqu5AbK8cmDZzMNosVq9Q==" workbookSpinCount="100000" lockStructure="1"/>
  <bookViews>
    <workbookView xWindow="210" yWindow="870" windowWidth="18990" windowHeight="9930" firstSheet="1" activeTab="1" xr2:uid="{33BA5518-3896-4BE5-B10C-E427B79E6535}"/>
  </bookViews>
  <sheets>
    <sheet name="Password" sheetId="14" state="hidden" r:id="rId1"/>
    <sheet name="Instructions" sheetId="13" r:id="rId2"/>
    <sheet name="General Project Info" sheetId="1" r:id="rId3"/>
    <sheet name="Scenarios &amp; Measures" sheetId="2" r:id="rId4"/>
    <sheet name="Results" sheetId="5" r:id="rId5"/>
    <sheet name="Emissions Tables" sheetId="6" r:id="rId6"/>
    <sheet name="Unit Conversions" sheetId="7" state="hidden" r:id="rId7"/>
    <sheet name="Unit Conversions Array" sheetId="8" state="hidden" r:id="rId8"/>
    <sheet name="Logo and Colour" sheetId="12" state="hidden" r:id="rId9"/>
  </sheets>
  <definedNames>
    <definedName name="Biogas">'General Project Info'!$S$63:$AA$63</definedName>
    <definedName name="Biomass">'General Project Info'!$S$60:$W$60</definedName>
    <definedName name="Carbon_Offset">'General Project Info'!$S$54:$T$54</definedName>
    <definedName name="Chilled_Water_Electric_Drive">'General Project Info'!$S$57:$V$57</definedName>
    <definedName name="Chilled_Water_Gas_Absorption">'General Project Info'!$S$58:$V$58</definedName>
    <definedName name="Chilled_Water_Gas_Engine">'General Project Info'!$S$59:$V$59</definedName>
    <definedName name="Diesel">'General Project Info'!$S$49:$X$49</definedName>
    <definedName name="District_Hot_Water">'General Project Info'!$S$56:$V$56</definedName>
    <definedName name="District_Steam">'General Project Info'!$S$55:$Z$55</definedName>
    <definedName name="Electricity">'General Project Info'!$S$52:$W$52</definedName>
    <definedName name="Fuel_Oil_1">'General Project Info'!$S$45:$X$45</definedName>
    <definedName name="Fuel_Oil_2">'General Project Info'!$S$46:$X$46</definedName>
    <definedName name="Fuel_Oil_4">'General Project Info'!$S$47:$X$47</definedName>
    <definedName name="Fuel_Oil_5_and_6">'General Project Info'!$S$48:$X$48</definedName>
    <definedName name="Kerosene">'General Project Info'!$S$50:$X$50</definedName>
    <definedName name="Meets_ZCB_option">Results!$R$12:$R$13</definedName>
    <definedName name="Natural_Gas">'General Project Info'!$S$44:$AA$44</definedName>
    <definedName name="Natural_Gas_Cost">"$/"&amp;Natural_Gas</definedName>
    <definedName name="oil">'General Project Info'!#REF!</definedName>
    <definedName name="Other">'General Project Info'!$S$62:$V$62</definedName>
    <definedName name="Propane">'General Project Info'!$S$51:$Z$51</definedName>
    <definedName name="RECs">'General Project Info'!$S$53:$W$53</definedName>
    <definedName name="Solar_PV_or_Wind">'General Project Info'!$S$61:$W$61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02" i="2" l="1"/>
  <c r="T101" i="2"/>
  <c r="T100" i="2"/>
  <c r="T99" i="2"/>
  <c r="T98" i="2"/>
  <c r="T97" i="2"/>
  <c r="T96" i="2"/>
  <c r="T95" i="2"/>
  <c r="T94" i="2"/>
  <c r="T93" i="2"/>
  <c r="T92" i="2"/>
  <c r="T91" i="2"/>
  <c r="T90" i="2"/>
  <c r="T89" i="2"/>
  <c r="T77" i="2"/>
  <c r="T76" i="2"/>
  <c r="T75" i="2"/>
  <c r="T74" i="2"/>
  <c r="T73" i="2"/>
  <c r="T72" i="2"/>
  <c r="T71" i="2"/>
  <c r="T70" i="2"/>
  <c r="T69" i="2"/>
  <c r="T68" i="2"/>
  <c r="T67" i="2"/>
  <c r="T66" i="2"/>
  <c r="T65" i="2"/>
  <c r="T64" i="2"/>
  <c r="T52" i="2"/>
  <c r="T51" i="2"/>
  <c r="T50" i="2"/>
  <c r="T49" i="2"/>
  <c r="T48" i="2"/>
  <c r="T47" i="2"/>
  <c r="T46" i="2"/>
  <c r="T45" i="2"/>
  <c r="T44" i="2"/>
  <c r="T43" i="2"/>
  <c r="T42" i="2"/>
  <c r="T41" i="2"/>
  <c r="T40" i="2"/>
  <c r="T39" i="2"/>
  <c r="T15" i="2"/>
  <c r="T16" i="2"/>
  <c r="T17" i="2"/>
  <c r="T18" i="2"/>
  <c r="T19" i="2"/>
  <c r="T20" i="2"/>
  <c r="T21" i="2"/>
  <c r="T22" i="2"/>
  <c r="T23" i="2"/>
  <c r="T24" i="2"/>
  <c r="T25" i="2"/>
  <c r="T26" i="2"/>
  <c r="T27" i="2"/>
  <c r="T14" i="2"/>
  <c r="S32" i="1" l="1"/>
  <c r="S33" i="1"/>
  <c r="S34" i="1"/>
  <c r="S35" i="1"/>
  <c r="S36" i="1"/>
  <c r="S37" i="1"/>
  <c r="S38" i="1"/>
  <c r="S39" i="1"/>
  <c r="S40" i="1"/>
  <c r="S31" i="1"/>
  <c r="S30" i="1"/>
  <c r="I14" i="2"/>
  <c r="N34" i="1" l="1"/>
  <c r="K31" i="1" l="1"/>
  <c r="K34" i="1" s="1"/>
  <c r="N37" i="1" l="1"/>
  <c r="N38" i="1"/>
  <c r="N39" i="1"/>
  <c r="N40" i="1"/>
  <c r="N36" i="1"/>
  <c r="K37" i="1"/>
  <c r="K38" i="1"/>
  <c r="K39" i="1"/>
  <c r="K40" i="1"/>
  <c r="K36" i="1"/>
  <c r="L24" i="6"/>
  <c r="L25" i="6"/>
  <c r="K33" i="1" s="1"/>
  <c r="L26" i="6"/>
  <c r="L27" i="6"/>
  <c r="L28" i="6"/>
  <c r="L29" i="6"/>
  <c r="L30" i="6"/>
  <c r="L31" i="6"/>
  <c r="L32" i="6"/>
  <c r="L33" i="6"/>
  <c r="L34" i="6"/>
  <c r="L35" i="6"/>
  <c r="L23" i="6"/>
  <c r="K32" i="1" s="1"/>
  <c r="H24" i="6"/>
  <c r="H25" i="6"/>
  <c r="H26" i="6"/>
  <c r="H27" i="6"/>
  <c r="H28" i="6"/>
  <c r="H29" i="6"/>
  <c r="H30" i="6"/>
  <c r="H31" i="6"/>
  <c r="K30" i="1" s="1"/>
  <c r="H32" i="6"/>
  <c r="H33" i="6"/>
  <c r="H34" i="6"/>
  <c r="H35" i="6"/>
  <c r="H23" i="6"/>
  <c r="G39" i="2" l="1"/>
  <c r="G14" i="2"/>
  <c r="M78" i="5"/>
  <c r="J78" i="5"/>
  <c r="G78" i="5"/>
  <c r="D10" i="5"/>
  <c r="G15" i="2" l="1"/>
  <c r="G16" i="2"/>
  <c r="G17" i="2"/>
  <c r="G18" i="2"/>
  <c r="G19" i="2"/>
  <c r="G20" i="2"/>
  <c r="G21" i="2"/>
  <c r="G22" i="2"/>
  <c r="G23" i="2"/>
  <c r="G24" i="2"/>
  <c r="G25" i="2"/>
  <c r="AD102" i="2" l="1"/>
  <c r="AD101" i="2"/>
  <c r="AD100" i="2"/>
  <c r="AD99" i="2"/>
  <c r="AD98" i="2"/>
  <c r="AD97" i="2"/>
  <c r="AD96" i="2"/>
  <c r="AD95" i="2"/>
  <c r="AD94" i="2"/>
  <c r="AD93" i="2"/>
  <c r="AD92" i="2"/>
  <c r="AD91" i="2"/>
  <c r="AD90" i="2"/>
  <c r="AD89" i="2"/>
  <c r="AD77" i="2"/>
  <c r="AD76" i="2"/>
  <c r="AD75" i="2"/>
  <c r="AD74" i="2"/>
  <c r="AD73" i="2"/>
  <c r="AD72" i="2"/>
  <c r="AD71" i="2"/>
  <c r="AD70" i="2"/>
  <c r="AD69" i="2"/>
  <c r="AD68" i="2"/>
  <c r="AD66" i="2"/>
  <c r="AD65" i="2"/>
  <c r="AD64" i="2"/>
  <c r="AD52" i="2" l="1"/>
  <c r="AD51" i="2"/>
  <c r="AD50" i="2"/>
  <c r="AD49" i="2"/>
  <c r="AD48" i="2"/>
  <c r="AD47" i="2"/>
  <c r="AD46" i="2"/>
  <c r="AD45" i="2"/>
  <c r="AD44" i="2"/>
  <c r="AD43" i="2"/>
  <c r="AD42" i="2"/>
  <c r="AD41" i="2"/>
  <c r="AD40" i="2"/>
  <c r="AD39" i="2"/>
  <c r="AD15" i="2"/>
  <c r="AD16" i="2"/>
  <c r="AD17" i="2"/>
  <c r="AD18" i="2"/>
  <c r="AD19" i="2"/>
  <c r="AD20" i="2"/>
  <c r="AD21" i="2"/>
  <c r="AD22" i="2"/>
  <c r="AD23" i="2"/>
  <c r="AD24" i="2"/>
  <c r="AD25" i="2"/>
  <c r="AD26" i="2"/>
  <c r="AD27" i="2"/>
  <c r="AD14" i="2"/>
  <c r="M9" i="5" l="1"/>
  <c r="AD67" i="2" l="1"/>
  <c r="G89" i="2"/>
  <c r="G102" i="2" l="1"/>
  <c r="G101" i="2"/>
  <c r="G100" i="2"/>
  <c r="G99" i="2"/>
  <c r="G98" i="2"/>
  <c r="G97" i="2"/>
  <c r="G96" i="2"/>
  <c r="G95" i="2"/>
  <c r="G94" i="2"/>
  <c r="G93" i="2"/>
  <c r="G92" i="2"/>
  <c r="G91" i="2"/>
  <c r="G90" i="2"/>
  <c r="G77" i="2"/>
  <c r="G76" i="2"/>
  <c r="G75" i="2"/>
  <c r="G74" i="2"/>
  <c r="G73" i="2"/>
  <c r="G72" i="2"/>
  <c r="G71" i="2"/>
  <c r="G70" i="2"/>
  <c r="G69" i="2"/>
  <c r="G68" i="2"/>
  <c r="G67" i="2"/>
  <c r="G66" i="2"/>
  <c r="G65" i="2"/>
  <c r="G64" i="2"/>
  <c r="G52" i="2"/>
  <c r="G51" i="2"/>
  <c r="G50" i="2"/>
  <c r="G49" i="2"/>
  <c r="G48" i="2"/>
  <c r="G47" i="2"/>
  <c r="G46" i="2"/>
  <c r="G45" i="2"/>
  <c r="G44" i="2"/>
  <c r="G43" i="2"/>
  <c r="G42" i="2"/>
  <c r="G41" i="2"/>
  <c r="G40" i="2"/>
  <c r="G26" i="2"/>
  <c r="G27" i="2"/>
  <c r="W102" i="2" l="1"/>
  <c r="X102" i="2" s="1"/>
  <c r="W101" i="2"/>
  <c r="X101" i="2" s="1"/>
  <c r="W100" i="2"/>
  <c r="X100" i="2" s="1"/>
  <c r="W99" i="2"/>
  <c r="X99" i="2" s="1"/>
  <c r="W98" i="2"/>
  <c r="X98" i="2" s="1"/>
  <c r="W97" i="2"/>
  <c r="X97" i="2" s="1"/>
  <c r="W96" i="2"/>
  <c r="X96" i="2" s="1"/>
  <c r="W95" i="2"/>
  <c r="X95" i="2" s="1"/>
  <c r="W94" i="2"/>
  <c r="X94" i="2" s="1"/>
  <c r="W93" i="2"/>
  <c r="X93" i="2" s="1"/>
  <c r="W92" i="2"/>
  <c r="X92" i="2" s="1"/>
  <c r="W91" i="2"/>
  <c r="X91" i="2" s="1"/>
  <c r="W90" i="2"/>
  <c r="X90" i="2" s="1"/>
  <c r="W77" i="2"/>
  <c r="X77" i="2" s="1"/>
  <c r="W76" i="2"/>
  <c r="X76" i="2" s="1"/>
  <c r="W75" i="2"/>
  <c r="X75" i="2" s="1"/>
  <c r="W74" i="2"/>
  <c r="X74" i="2" s="1"/>
  <c r="W73" i="2"/>
  <c r="X73" i="2" s="1"/>
  <c r="W72" i="2"/>
  <c r="X72" i="2" s="1"/>
  <c r="W71" i="2"/>
  <c r="X71" i="2" s="1"/>
  <c r="W70" i="2"/>
  <c r="X70" i="2" s="1"/>
  <c r="W69" i="2"/>
  <c r="X69" i="2" s="1"/>
  <c r="W68" i="2"/>
  <c r="X68" i="2" s="1"/>
  <c r="W67" i="2"/>
  <c r="X67" i="2" s="1"/>
  <c r="W66" i="2"/>
  <c r="X66" i="2" s="1"/>
  <c r="W65" i="2"/>
  <c r="X65" i="2" s="1"/>
  <c r="W52" i="2"/>
  <c r="X52" i="2" s="1"/>
  <c r="W51" i="2"/>
  <c r="X51" i="2" s="1"/>
  <c r="W50" i="2"/>
  <c r="X50" i="2" s="1"/>
  <c r="W49" i="2"/>
  <c r="X49" i="2" s="1"/>
  <c r="W48" i="2"/>
  <c r="X48" i="2" s="1"/>
  <c r="W47" i="2"/>
  <c r="X47" i="2" s="1"/>
  <c r="W46" i="2"/>
  <c r="X46" i="2" s="1"/>
  <c r="W45" i="2"/>
  <c r="X45" i="2" s="1"/>
  <c r="W44" i="2"/>
  <c r="X44" i="2" s="1"/>
  <c r="W43" i="2"/>
  <c r="X43" i="2" s="1"/>
  <c r="W42" i="2"/>
  <c r="X42" i="2" s="1"/>
  <c r="W41" i="2"/>
  <c r="X41" i="2" s="1"/>
  <c r="W40" i="2"/>
  <c r="X40" i="2" s="1"/>
  <c r="W89" i="2"/>
  <c r="X89" i="2" s="1"/>
  <c r="W64" i="2"/>
  <c r="X64" i="2" s="1"/>
  <c r="W39" i="2"/>
  <c r="X39" i="2" s="1"/>
  <c r="T37" i="1"/>
  <c r="U37" i="1"/>
  <c r="V37" i="1" s="1"/>
  <c r="W37" i="1"/>
  <c r="T38" i="1"/>
  <c r="U38" i="1"/>
  <c r="V38" i="1" s="1"/>
  <c r="W38" i="1"/>
  <c r="T39" i="1"/>
  <c r="U39" i="1"/>
  <c r="V39" i="1" s="1"/>
  <c r="W39" i="1"/>
  <c r="T40" i="1"/>
  <c r="U40" i="1"/>
  <c r="V40" i="1" s="1"/>
  <c r="W40" i="1"/>
  <c r="AE86" i="2" l="1"/>
  <c r="AO9" i="2" l="1"/>
  <c r="AP9" i="2"/>
  <c r="AQ9" i="2"/>
  <c r="AR9" i="2"/>
  <c r="AS9" i="2"/>
  <c r="AT9" i="2"/>
  <c r="AU9" i="2"/>
  <c r="AV9" i="2"/>
  <c r="AW9" i="2"/>
  <c r="AX9" i="2"/>
  <c r="AY9" i="2"/>
  <c r="AZ9" i="2"/>
  <c r="BA9" i="2"/>
  <c r="BB9" i="2"/>
  <c r="BC9" i="2"/>
  <c r="BD9" i="2"/>
  <c r="BE9" i="2"/>
  <c r="BF9" i="2"/>
  <c r="BG9" i="2"/>
  <c r="BH9" i="2"/>
  <c r="BI9" i="2"/>
  <c r="BJ9" i="2"/>
  <c r="BK9" i="2"/>
  <c r="BL9" i="2"/>
  <c r="BM9" i="2"/>
  <c r="BN9" i="2"/>
  <c r="BO9" i="2"/>
  <c r="BP9" i="2"/>
  <c r="BQ9" i="2"/>
  <c r="BR9" i="2"/>
  <c r="BS9" i="2"/>
  <c r="BT9" i="2"/>
  <c r="BU9" i="2"/>
  <c r="BV9" i="2"/>
  <c r="BW9" i="2"/>
  <c r="BX9" i="2"/>
  <c r="BY9" i="2"/>
  <c r="BZ9" i="2"/>
  <c r="CA9" i="2"/>
  <c r="CB9" i="2"/>
  <c r="CC9" i="2"/>
  <c r="CD9" i="2"/>
  <c r="CE9" i="2"/>
  <c r="CF9" i="2"/>
  <c r="CG9" i="2"/>
  <c r="CH9" i="2"/>
  <c r="CI9" i="2"/>
  <c r="CJ9" i="2"/>
  <c r="CK9" i="2"/>
  <c r="CL9" i="2"/>
  <c r="CM9" i="2"/>
  <c r="CN9" i="2"/>
  <c r="CO9" i="2"/>
  <c r="CP9" i="2"/>
  <c r="CQ9" i="2"/>
  <c r="CR9" i="2"/>
  <c r="CS9" i="2"/>
  <c r="CT9" i="2"/>
  <c r="CU9" i="2"/>
  <c r="CV9" i="2"/>
  <c r="CW9" i="2"/>
  <c r="CX9" i="2"/>
  <c r="CY9" i="2"/>
  <c r="CZ9" i="2"/>
  <c r="DA9" i="2"/>
  <c r="DB9" i="2"/>
  <c r="DC9" i="2"/>
  <c r="DD9" i="2"/>
  <c r="DE9" i="2"/>
  <c r="DF9" i="2"/>
  <c r="DG9" i="2"/>
  <c r="DH9" i="2"/>
  <c r="DI9" i="2"/>
  <c r="DJ9" i="2"/>
  <c r="DK9" i="2"/>
  <c r="DL9" i="2"/>
  <c r="DM9" i="2"/>
  <c r="DN9" i="2"/>
  <c r="DO9" i="2"/>
  <c r="DP9" i="2"/>
  <c r="DQ9" i="2"/>
  <c r="DR9" i="2"/>
  <c r="DS9" i="2"/>
  <c r="DT9" i="2"/>
  <c r="DU9" i="2"/>
  <c r="DV9" i="2"/>
  <c r="DW9" i="2"/>
  <c r="DX9" i="2"/>
  <c r="DY9" i="2"/>
  <c r="DZ9" i="2"/>
  <c r="EA9" i="2"/>
  <c r="EB9" i="2"/>
  <c r="EC9" i="2"/>
  <c r="ED9" i="2"/>
  <c r="EE9" i="2"/>
  <c r="EF9" i="2"/>
  <c r="EG9" i="2"/>
  <c r="EH9" i="2"/>
  <c r="EI9" i="2"/>
  <c r="EJ9" i="2"/>
  <c r="AO10" i="2"/>
  <c r="AP10" i="2"/>
  <c r="AQ10" i="2"/>
  <c r="AR10" i="2"/>
  <c r="AS10" i="2"/>
  <c r="AT10" i="2"/>
  <c r="AU10" i="2"/>
  <c r="AV10" i="2"/>
  <c r="AW10" i="2"/>
  <c r="AX10" i="2"/>
  <c r="AY10" i="2"/>
  <c r="AZ10" i="2"/>
  <c r="BA10" i="2"/>
  <c r="BB10" i="2"/>
  <c r="BC10" i="2"/>
  <c r="BD10" i="2"/>
  <c r="BE10" i="2"/>
  <c r="BF10" i="2"/>
  <c r="BG10" i="2"/>
  <c r="BH10" i="2"/>
  <c r="BI10" i="2"/>
  <c r="BJ10" i="2"/>
  <c r="BK10" i="2"/>
  <c r="BL10" i="2"/>
  <c r="BM10" i="2"/>
  <c r="BN10" i="2"/>
  <c r="BO10" i="2"/>
  <c r="BP10" i="2"/>
  <c r="BQ10" i="2"/>
  <c r="BR10" i="2"/>
  <c r="BS10" i="2"/>
  <c r="BT10" i="2"/>
  <c r="BU10" i="2"/>
  <c r="BV10" i="2"/>
  <c r="BW10" i="2"/>
  <c r="BX10" i="2"/>
  <c r="BY10" i="2"/>
  <c r="BZ10" i="2"/>
  <c r="CA10" i="2"/>
  <c r="CB10" i="2"/>
  <c r="CC10" i="2"/>
  <c r="CD10" i="2"/>
  <c r="CE10" i="2"/>
  <c r="CF10" i="2"/>
  <c r="CG10" i="2"/>
  <c r="CH10" i="2"/>
  <c r="CI10" i="2"/>
  <c r="CJ10" i="2"/>
  <c r="CK10" i="2"/>
  <c r="CL10" i="2"/>
  <c r="CM10" i="2"/>
  <c r="CN10" i="2"/>
  <c r="CO10" i="2"/>
  <c r="CP10" i="2"/>
  <c r="CQ10" i="2"/>
  <c r="CR10" i="2"/>
  <c r="CS10" i="2"/>
  <c r="CT10" i="2"/>
  <c r="CU10" i="2"/>
  <c r="CV10" i="2"/>
  <c r="CW10" i="2"/>
  <c r="CX10" i="2"/>
  <c r="CY10" i="2"/>
  <c r="CZ10" i="2"/>
  <c r="DA10" i="2"/>
  <c r="DB10" i="2"/>
  <c r="DC10" i="2"/>
  <c r="DD10" i="2"/>
  <c r="DE10" i="2"/>
  <c r="DF10" i="2"/>
  <c r="DG10" i="2"/>
  <c r="DH10" i="2"/>
  <c r="DI10" i="2"/>
  <c r="DJ10" i="2"/>
  <c r="DK10" i="2"/>
  <c r="DL10" i="2"/>
  <c r="DM10" i="2"/>
  <c r="DN10" i="2"/>
  <c r="DO10" i="2"/>
  <c r="DP10" i="2"/>
  <c r="DQ10" i="2"/>
  <c r="DR10" i="2"/>
  <c r="DS10" i="2"/>
  <c r="DT10" i="2"/>
  <c r="DU10" i="2"/>
  <c r="DV10" i="2"/>
  <c r="DW10" i="2"/>
  <c r="DX10" i="2"/>
  <c r="DY10" i="2"/>
  <c r="DZ10" i="2"/>
  <c r="EA10" i="2"/>
  <c r="EB10" i="2"/>
  <c r="EC10" i="2"/>
  <c r="ED10" i="2"/>
  <c r="EE10" i="2"/>
  <c r="EF10" i="2"/>
  <c r="EG10" i="2"/>
  <c r="EH10" i="2"/>
  <c r="EI10" i="2"/>
  <c r="EJ10" i="2"/>
  <c r="AN10" i="2"/>
  <c r="AN9" i="2"/>
  <c r="W31" i="1"/>
  <c r="W32" i="1"/>
  <c r="W33" i="1"/>
  <c r="W34" i="1"/>
  <c r="W35" i="1"/>
  <c r="W36" i="1"/>
  <c r="W30" i="1" l="1"/>
  <c r="U30" i="1"/>
  <c r="V30" i="1" s="1"/>
  <c r="J96" i="2" l="1"/>
  <c r="Z96" i="2" s="1"/>
  <c r="I96" i="2"/>
  <c r="Y96" i="2" s="1"/>
  <c r="J95" i="2"/>
  <c r="Z95" i="2" s="1"/>
  <c r="I95" i="2"/>
  <c r="Y95" i="2" s="1"/>
  <c r="J93" i="2"/>
  <c r="Z93" i="2" s="1"/>
  <c r="J100" i="2"/>
  <c r="Z100" i="2" s="1"/>
  <c r="I100" i="2"/>
  <c r="Y100" i="2" s="1"/>
  <c r="J92" i="2"/>
  <c r="Z92" i="2" s="1"/>
  <c r="J102" i="2"/>
  <c r="Z102" i="2" s="1"/>
  <c r="I102" i="2"/>
  <c r="Y102" i="2" s="1"/>
  <c r="J99" i="2"/>
  <c r="Z99" i="2" s="1"/>
  <c r="I99" i="2"/>
  <c r="Y99" i="2" s="1"/>
  <c r="J91" i="2"/>
  <c r="Z91" i="2" s="1"/>
  <c r="J101" i="2"/>
  <c r="Z101" i="2" s="1"/>
  <c r="I101" i="2"/>
  <c r="Y101" i="2" s="1"/>
  <c r="J98" i="2"/>
  <c r="Z98" i="2" s="1"/>
  <c r="I98" i="2"/>
  <c r="Y98" i="2" s="1"/>
  <c r="J90" i="2"/>
  <c r="Z90" i="2" s="1"/>
  <c r="J94" i="2"/>
  <c r="Z94" i="2" s="1"/>
  <c r="I94" i="2"/>
  <c r="Y94" i="2" s="1"/>
  <c r="J97" i="2"/>
  <c r="Z97" i="2" s="1"/>
  <c r="I97" i="2"/>
  <c r="Y97" i="2" s="1"/>
  <c r="J76" i="2"/>
  <c r="Z76" i="2" s="1"/>
  <c r="I76" i="2"/>
  <c r="Y76" i="2" s="1"/>
  <c r="J67" i="2"/>
  <c r="Z67" i="2" s="1"/>
  <c r="J74" i="2"/>
  <c r="Z74" i="2" s="1"/>
  <c r="I74" i="2"/>
  <c r="Y74" i="2" s="1"/>
  <c r="J73" i="2"/>
  <c r="Z73" i="2" s="1"/>
  <c r="I73" i="2"/>
  <c r="Y73" i="2" s="1"/>
  <c r="J65" i="2"/>
  <c r="Z65" i="2" s="1"/>
  <c r="J77" i="2"/>
  <c r="Z77" i="2" s="1"/>
  <c r="I77" i="2"/>
  <c r="Y77" i="2" s="1"/>
  <c r="J68" i="2"/>
  <c r="Z68" i="2" s="1"/>
  <c r="I66" i="2"/>
  <c r="Y66" i="2" s="1"/>
  <c r="J72" i="2"/>
  <c r="Z72" i="2" s="1"/>
  <c r="I72" i="2"/>
  <c r="Y72" i="2" s="1"/>
  <c r="J69" i="2"/>
  <c r="Z69" i="2" s="1"/>
  <c r="I69" i="2"/>
  <c r="Y69" i="2" s="1"/>
  <c r="J75" i="2"/>
  <c r="Z75" i="2" s="1"/>
  <c r="I75" i="2"/>
  <c r="Y75" i="2" s="1"/>
  <c r="J71" i="2"/>
  <c r="Z71" i="2" s="1"/>
  <c r="I71" i="2"/>
  <c r="Y71" i="2" s="1"/>
  <c r="J70" i="2"/>
  <c r="Z70" i="2" s="1"/>
  <c r="I70" i="2"/>
  <c r="Y70" i="2" s="1"/>
  <c r="L67" i="5"/>
  <c r="I67" i="5"/>
  <c r="F67" i="5"/>
  <c r="D67" i="5"/>
  <c r="I27" i="2" l="1"/>
  <c r="J27" i="2"/>
  <c r="I26" i="2"/>
  <c r="J26" i="2"/>
  <c r="I25" i="2"/>
  <c r="J25" i="2"/>
  <c r="I24" i="2"/>
  <c r="J24" i="2"/>
  <c r="I23" i="2"/>
  <c r="J23" i="2"/>
  <c r="J22" i="2"/>
  <c r="I22" i="2"/>
  <c r="I21" i="2"/>
  <c r="J21" i="2"/>
  <c r="I20" i="2"/>
  <c r="J20" i="2"/>
  <c r="I19" i="2"/>
  <c r="J19" i="2"/>
  <c r="I18" i="2"/>
  <c r="J18" i="2"/>
  <c r="J17" i="2"/>
  <c r="G67" i="5"/>
  <c r="M67" i="5"/>
  <c r="J67" i="5"/>
  <c r="J45" i="2" l="1"/>
  <c r="Z45" i="2" s="1"/>
  <c r="I45" i="2"/>
  <c r="Y45" i="2" s="1"/>
  <c r="J50" i="2"/>
  <c r="Z50" i="2" s="1"/>
  <c r="I50" i="2"/>
  <c r="Y50" i="2" s="1"/>
  <c r="J41" i="2"/>
  <c r="Z41" i="2" s="1"/>
  <c r="I41" i="2"/>
  <c r="Y41" i="2" s="1"/>
  <c r="J44" i="2"/>
  <c r="Z44" i="2" s="1"/>
  <c r="I44" i="2"/>
  <c r="Y44" i="2" s="1"/>
  <c r="J48" i="2"/>
  <c r="Z48" i="2" s="1"/>
  <c r="I48" i="2"/>
  <c r="Y48" i="2" s="1"/>
  <c r="J40" i="2"/>
  <c r="Z40" i="2" s="1"/>
  <c r="J49" i="2"/>
  <c r="Z49" i="2" s="1"/>
  <c r="I49" i="2"/>
  <c r="Y49" i="2" s="1"/>
  <c r="J47" i="2"/>
  <c r="Z47" i="2" s="1"/>
  <c r="I47" i="2"/>
  <c r="Y47" i="2" s="1"/>
  <c r="I52" i="2"/>
  <c r="Y52" i="2" s="1"/>
  <c r="J52" i="2"/>
  <c r="Z52" i="2" s="1"/>
  <c r="J42" i="2"/>
  <c r="Z42" i="2" s="1"/>
  <c r="I46" i="2"/>
  <c r="Y46" i="2" s="1"/>
  <c r="J46" i="2"/>
  <c r="Z46" i="2" s="1"/>
  <c r="J51" i="2"/>
  <c r="Z51" i="2" s="1"/>
  <c r="I51" i="2"/>
  <c r="Y51" i="2" s="1"/>
  <c r="J43" i="2"/>
  <c r="Z43" i="2" s="1"/>
  <c r="I43" i="2"/>
  <c r="Y43" i="2" s="1"/>
  <c r="M104" i="2"/>
  <c r="N104" i="2"/>
  <c r="O104" i="2"/>
  <c r="X108" i="2" s="1"/>
  <c r="J89" i="2" l="1"/>
  <c r="Z89" i="2" s="1"/>
  <c r="L47" i="5"/>
  <c r="F104" i="2"/>
  <c r="O79" i="2"/>
  <c r="X83" i="2" s="1"/>
  <c r="N79" i="2"/>
  <c r="M79" i="2"/>
  <c r="L13" i="5"/>
  <c r="I13" i="5"/>
  <c r="F13" i="5"/>
  <c r="D13" i="5"/>
  <c r="O54" i="2"/>
  <c r="X58" i="2" s="1"/>
  <c r="N54" i="2"/>
  <c r="M54" i="2"/>
  <c r="X10" i="2"/>
  <c r="BG14" i="2" s="1"/>
  <c r="Y18" i="2"/>
  <c r="Y19" i="2"/>
  <c r="Y20" i="2"/>
  <c r="Y21" i="2"/>
  <c r="Y22" i="2"/>
  <c r="Y23" i="2"/>
  <c r="Y24" i="2"/>
  <c r="Y25" i="2"/>
  <c r="Y26" i="2"/>
  <c r="Y27" i="2"/>
  <c r="W15" i="2"/>
  <c r="X15" i="2" s="1"/>
  <c r="W16" i="2"/>
  <c r="X16" i="2" s="1"/>
  <c r="W17" i="2"/>
  <c r="X17" i="2" s="1"/>
  <c r="W18" i="2"/>
  <c r="X18" i="2" s="1"/>
  <c r="W19" i="2"/>
  <c r="X19" i="2" s="1"/>
  <c r="W20" i="2"/>
  <c r="X20" i="2" s="1"/>
  <c r="W21" i="2"/>
  <c r="X21" i="2" s="1"/>
  <c r="W22" i="2"/>
  <c r="X22" i="2" s="1"/>
  <c r="W23" i="2"/>
  <c r="X23" i="2" s="1"/>
  <c r="W24" i="2"/>
  <c r="X24" i="2" s="1"/>
  <c r="W25" i="2"/>
  <c r="X25" i="2" s="1"/>
  <c r="W26" i="2"/>
  <c r="X26" i="2" s="1"/>
  <c r="W27" i="2"/>
  <c r="X27" i="2" s="1"/>
  <c r="W14" i="2"/>
  <c r="L17" i="5" l="1"/>
  <c r="L16" i="5"/>
  <c r="BH104" i="2"/>
  <c r="BI104" i="2"/>
  <c r="BQ104" i="2"/>
  <c r="BY104" i="2"/>
  <c r="CG104" i="2"/>
  <c r="CO104" i="2"/>
  <c r="CW104" i="2"/>
  <c r="DE104" i="2"/>
  <c r="DM104" i="2"/>
  <c r="DU104" i="2"/>
  <c r="EC104" i="2"/>
  <c r="BM105" i="2"/>
  <c r="BU105" i="2"/>
  <c r="CC105" i="2"/>
  <c r="CK105" i="2"/>
  <c r="CS105" i="2"/>
  <c r="DA105" i="2"/>
  <c r="DI105" i="2"/>
  <c r="DQ105" i="2"/>
  <c r="DY105" i="2"/>
  <c r="EG105" i="2"/>
  <c r="BJ79" i="2"/>
  <c r="BJ104" i="2"/>
  <c r="BR104" i="2"/>
  <c r="BZ104" i="2"/>
  <c r="CH104" i="2"/>
  <c r="CP104" i="2"/>
  <c r="CX104" i="2"/>
  <c r="DF104" i="2"/>
  <c r="DN104" i="2"/>
  <c r="DV104" i="2"/>
  <c r="ED104" i="2"/>
  <c r="BN105" i="2"/>
  <c r="BV105" i="2"/>
  <c r="CD105" i="2"/>
  <c r="CL105" i="2"/>
  <c r="CT105" i="2"/>
  <c r="DB105" i="2"/>
  <c r="DJ105" i="2"/>
  <c r="DR105" i="2"/>
  <c r="DZ105" i="2"/>
  <c r="EH105" i="2"/>
  <c r="BK79" i="2"/>
  <c r="BS79" i="2"/>
  <c r="CA79" i="2"/>
  <c r="CI79" i="2"/>
  <c r="CQ79" i="2"/>
  <c r="CY79" i="2"/>
  <c r="DG79" i="2"/>
  <c r="DO79" i="2"/>
  <c r="DW79" i="2"/>
  <c r="EE79" i="2"/>
  <c r="BH80" i="2"/>
  <c r="BP80" i="2"/>
  <c r="BX80" i="2"/>
  <c r="CF80" i="2"/>
  <c r="CN80" i="2"/>
  <c r="CV80" i="2"/>
  <c r="DD80" i="2"/>
  <c r="DL80" i="2"/>
  <c r="DT80" i="2"/>
  <c r="EB80" i="2"/>
  <c r="EJ80" i="2"/>
  <c r="BN54" i="2"/>
  <c r="BV54" i="2"/>
  <c r="CD54" i="2"/>
  <c r="CL54" i="2"/>
  <c r="CT54" i="2"/>
  <c r="DB54" i="2"/>
  <c r="DJ54" i="2"/>
  <c r="DR54" i="2"/>
  <c r="DZ54" i="2"/>
  <c r="EH54" i="2"/>
  <c r="BK55" i="2"/>
  <c r="BS55" i="2"/>
  <c r="CA55" i="2"/>
  <c r="CI55" i="2"/>
  <c r="CQ55" i="2"/>
  <c r="CY55" i="2"/>
  <c r="DG55" i="2"/>
  <c r="DO55" i="2"/>
  <c r="DW55" i="2"/>
  <c r="EE55" i="2"/>
  <c r="BK104" i="2"/>
  <c r="BS104" i="2"/>
  <c r="CA104" i="2"/>
  <c r="CI104" i="2"/>
  <c r="CQ104" i="2"/>
  <c r="CY104" i="2"/>
  <c r="DG104" i="2"/>
  <c r="DO104" i="2"/>
  <c r="DW104" i="2"/>
  <c r="EE104" i="2"/>
  <c r="BO105" i="2"/>
  <c r="BW105" i="2"/>
  <c r="CE105" i="2"/>
  <c r="CM105" i="2"/>
  <c r="CU105" i="2"/>
  <c r="DC105" i="2"/>
  <c r="DK105" i="2"/>
  <c r="DS105" i="2"/>
  <c r="EA105" i="2"/>
  <c r="EI105" i="2"/>
  <c r="BL79" i="2"/>
  <c r="BT79" i="2"/>
  <c r="CB79" i="2"/>
  <c r="CJ79" i="2"/>
  <c r="CR79" i="2"/>
  <c r="CZ79" i="2"/>
  <c r="DH79" i="2"/>
  <c r="DP79" i="2"/>
  <c r="DX79" i="2"/>
  <c r="EF79" i="2"/>
  <c r="BI80" i="2"/>
  <c r="BQ80" i="2"/>
  <c r="BY80" i="2"/>
  <c r="CG80" i="2"/>
  <c r="CO80" i="2"/>
  <c r="CW80" i="2"/>
  <c r="DE80" i="2"/>
  <c r="DM80" i="2"/>
  <c r="DU80" i="2"/>
  <c r="EC80" i="2"/>
  <c r="BO54" i="2"/>
  <c r="BW54" i="2"/>
  <c r="CE54" i="2"/>
  <c r="CM54" i="2"/>
  <c r="CU54" i="2"/>
  <c r="DC54" i="2"/>
  <c r="DK54" i="2"/>
  <c r="DS54" i="2"/>
  <c r="EA54" i="2"/>
  <c r="EI54" i="2"/>
  <c r="BL55" i="2"/>
  <c r="BT55" i="2"/>
  <c r="CB55" i="2"/>
  <c r="CJ55" i="2"/>
  <c r="CR55" i="2"/>
  <c r="CZ55" i="2"/>
  <c r="DH55" i="2"/>
  <c r="DP55" i="2"/>
  <c r="DX55" i="2"/>
  <c r="EF55" i="2"/>
  <c r="BL104" i="2"/>
  <c r="BT104" i="2"/>
  <c r="CB104" i="2"/>
  <c r="CJ104" i="2"/>
  <c r="CR104" i="2"/>
  <c r="CZ104" i="2"/>
  <c r="DH104" i="2"/>
  <c r="DP104" i="2"/>
  <c r="DX104" i="2"/>
  <c r="EF104" i="2"/>
  <c r="BH105" i="2"/>
  <c r="BP105" i="2"/>
  <c r="BX105" i="2"/>
  <c r="BW104" i="2"/>
  <c r="CM104" i="2"/>
  <c r="DC104" i="2"/>
  <c r="DS104" i="2"/>
  <c r="EI104" i="2"/>
  <c r="BS105" i="2"/>
  <c r="CH105" i="2"/>
  <c r="CV105" i="2"/>
  <c r="DG105" i="2"/>
  <c r="DU105" i="2"/>
  <c r="EF105" i="2"/>
  <c r="BO79" i="2"/>
  <c r="BY79" i="2"/>
  <c r="CK79" i="2"/>
  <c r="CU79" i="2"/>
  <c r="DE79" i="2"/>
  <c r="DQ79" i="2"/>
  <c r="EA79" i="2"/>
  <c r="BL80" i="2"/>
  <c r="BV80" i="2"/>
  <c r="CH80" i="2"/>
  <c r="CR80" i="2"/>
  <c r="DB80" i="2"/>
  <c r="DN80" i="2"/>
  <c r="DX80" i="2"/>
  <c r="EH80" i="2"/>
  <c r="BP54" i="2"/>
  <c r="BZ54" i="2"/>
  <c r="CJ54" i="2"/>
  <c r="CV54" i="2"/>
  <c r="DF54" i="2"/>
  <c r="DP54" i="2"/>
  <c r="EB54" i="2"/>
  <c r="BM55" i="2"/>
  <c r="BW55" i="2"/>
  <c r="CG55" i="2"/>
  <c r="CS55" i="2"/>
  <c r="DC55" i="2"/>
  <c r="DM55" i="2"/>
  <c r="DY55" i="2"/>
  <c r="EI55" i="2"/>
  <c r="BX104" i="2"/>
  <c r="CN104" i="2"/>
  <c r="DD104" i="2"/>
  <c r="DT104" i="2"/>
  <c r="EJ104" i="2"/>
  <c r="BT105" i="2"/>
  <c r="CI105" i="2"/>
  <c r="CW105" i="2"/>
  <c r="DH105" i="2"/>
  <c r="DV105" i="2"/>
  <c r="EJ105" i="2"/>
  <c r="BP79" i="2"/>
  <c r="BZ79" i="2"/>
  <c r="CL79" i="2"/>
  <c r="CV79" i="2"/>
  <c r="DF79" i="2"/>
  <c r="DR79" i="2"/>
  <c r="EB79" i="2"/>
  <c r="BM80" i="2"/>
  <c r="BW80" i="2"/>
  <c r="CI80" i="2"/>
  <c r="CS80" i="2"/>
  <c r="DC80" i="2"/>
  <c r="DO80" i="2"/>
  <c r="DY80" i="2"/>
  <c r="EI80" i="2"/>
  <c r="BQ54" i="2"/>
  <c r="CA54" i="2"/>
  <c r="CK54" i="2"/>
  <c r="CW54" i="2"/>
  <c r="DG54" i="2"/>
  <c r="DQ54" i="2"/>
  <c r="EC54" i="2"/>
  <c r="BM104" i="2"/>
  <c r="CC104" i="2"/>
  <c r="CS104" i="2"/>
  <c r="DI104" i="2"/>
  <c r="DY104" i="2"/>
  <c r="BI105" i="2"/>
  <c r="BY105" i="2"/>
  <c r="CJ105" i="2"/>
  <c r="CX105" i="2"/>
  <c r="DL105" i="2"/>
  <c r="DW105" i="2"/>
  <c r="BQ79" i="2"/>
  <c r="CC79" i="2"/>
  <c r="CM79" i="2"/>
  <c r="CW79" i="2"/>
  <c r="DI79" i="2"/>
  <c r="DS79" i="2"/>
  <c r="EC79" i="2"/>
  <c r="BN80" i="2"/>
  <c r="BZ80" i="2"/>
  <c r="CJ80" i="2"/>
  <c r="CT80" i="2"/>
  <c r="DF80" i="2"/>
  <c r="DP80" i="2"/>
  <c r="DZ80" i="2"/>
  <c r="BH54" i="2"/>
  <c r="BR54" i="2"/>
  <c r="CB54" i="2"/>
  <c r="CN54" i="2"/>
  <c r="CX54" i="2"/>
  <c r="DH54" i="2"/>
  <c r="DT54" i="2"/>
  <c r="ED54" i="2"/>
  <c r="BO55" i="2"/>
  <c r="BY55" i="2"/>
  <c r="CK55" i="2"/>
  <c r="CU55" i="2"/>
  <c r="DE55" i="2"/>
  <c r="DQ55" i="2"/>
  <c r="EA55" i="2"/>
  <c r="BN104" i="2"/>
  <c r="CD104" i="2"/>
  <c r="CT104" i="2"/>
  <c r="DJ104" i="2"/>
  <c r="DZ104" i="2"/>
  <c r="BJ105" i="2"/>
  <c r="BZ105" i="2"/>
  <c r="CN105" i="2"/>
  <c r="CY105" i="2"/>
  <c r="DM105" i="2"/>
  <c r="DX105" i="2"/>
  <c r="BR79" i="2"/>
  <c r="CD79" i="2"/>
  <c r="CN79" i="2"/>
  <c r="CX79" i="2"/>
  <c r="DJ79" i="2"/>
  <c r="DT79" i="2"/>
  <c r="ED79" i="2"/>
  <c r="BO80" i="2"/>
  <c r="CA80" i="2"/>
  <c r="CK80" i="2"/>
  <c r="CU80" i="2"/>
  <c r="DG80" i="2"/>
  <c r="DQ80" i="2"/>
  <c r="EA80" i="2"/>
  <c r="BI54" i="2"/>
  <c r="BS54" i="2"/>
  <c r="CC54" i="2"/>
  <c r="CO54" i="2"/>
  <c r="CY54" i="2"/>
  <c r="DI54" i="2"/>
  <c r="DU54" i="2"/>
  <c r="EE54" i="2"/>
  <c r="BP55" i="2"/>
  <c r="BZ55" i="2"/>
  <c r="CL55" i="2"/>
  <c r="CV55" i="2"/>
  <c r="DF55" i="2"/>
  <c r="DR55" i="2"/>
  <c r="EB55" i="2"/>
  <c r="BO104" i="2"/>
  <c r="CU104" i="2"/>
  <c r="DK104" i="2"/>
  <c r="EA104" i="2"/>
  <c r="BP104" i="2"/>
  <c r="CF104" i="2"/>
  <c r="CV104" i="2"/>
  <c r="DL104" i="2"/>
  <c r="EB104" i="2"/>
  <c r="BL105" i="2"/>
  <c r="CB105" i="2"/>
  <c r="CP105" i="2"/>
  <c r="DD105" i="2"/>
  <c r="DO105" i="2"/>
  <c r="EC105" i="2"/>
  <c r="BI79" i="2"/>
  <c r="BV79" i="2"/>
  <c r="CF79" i="2"/>
  <c r="CP79" i="2"/>
  <c r="DB79" i="2"/>
  <c r="DL79" i="2"/>
  <c r="DV79" i="2"/>
  <c r="EH79" i="2"/>
  <c r="BS80" i="2"/>
  <c r="CC80" i="2"/>
  <c r="CM80" i="2"/>
  <c r="CY80" i="2"/>
  <c r="DI80" i="2"/>
  <c r="DS80" i="2"/>
  <c r="EE80" i="2"/>
  <c r="BK54" i="2"/>
  <c r="BU54" i="2"/>
  <c r="CG54" i="2"/>
  <c r="CQ54" i="2"/>
  <c r="DA54" i="2"/>
  <c r="DM54" i="2"/>
  <c r="DW54" i="2"/>
  <c r="EG54" i="2"/>
  <c r="BH55" i="2"/>
  <c r="BR55" i="2"/>
  <c r="CD55" i="2"/>
  <c r="CN55" i="2"/>
  <c r="CX55" i="2"/>
  <c r="DJ55" i="2"/>
  <c r="DT55" i="2"/>
  <c r="ED55" i="2"/>
  <c r="BU104" i="2"/>
  <c r="CK104" i="2"/>
  <c r="DA104" i="2"/>
  <c r="DQ104" i="2"/>
  <c r="EG104" i="2"/>
  <c r="BQ105" i="2"/>
  <c r="BK105" i="2"/>
  <c r="CZ105" i="2"/>
  <c r="EE105" i="2"/>
  <c r="CG79" i="2"/>
  <c r="DK79" i="2"/>
  <c r="EJ79" i="2"/>
  <c r="BT80" i="2"/>
  <c r="CX80" i="2"/>
  <c r="DW80" i="2"/>
  <c r="BX54" i="2"/>
  <c r="CZ54" i="2"/>
  <c r="DY54" i="2"/>
  <c r="CC55" i="2"/>
  <c r="CW55" i="2"/>
  <c r="DS55" i="2"/>
  <c r="CA105" i="2"/>
  <c r="DF105" i="2"/>
  <c r="BM79" i="2"/>
  <c r="CO79" i="2"/>
  <c r="DN79" i="2"/>
  <c r="CB80" i="2"/>
  <c r="DA80" i="2"/>
  <c r="EF80" i="2"/>
  <c r="CF54" i="2"/>
  <c r="DE54" i="2"/>
  <c r="EJ54" i="2"/>
  <c r="BJ55" i="2"/>
  <c r="CF55" i="2"/>
  <c r="DB55" i="2"/>
  <c r="CH55" i="2"/>
  <c r="DB104" i="2"/>
  <c r="BU79" i="2"/>
  <c r="CE80" i="2"/>
  <c r="CI54" i="2"/>
  <c r="CM55" i="2"/>
  <c r="DR104" i="2"/>
  <c r="BV104" i="2"/>
  <c r="BR105" i="2"/>
  <c r="DE105" i="2"/>
  <c r="BH79" i="2"/>
  <c r="CH79" i="2"/>
  <c r="DM79" i="2"/>
  <c r="BU80" i="2"/>
  <c r="CZ80" i="2"/>
  <c r="ED80" i="2"/>
  <c r="BY54" i="2"/>
  <c r="DD54" i="2"/>
  <c r="EF54" i="2"/>
  <c r="BI55" i="2"/>
  <c r="CE55" i="2"/>
  <c r="DA55" i="2"/>
  <c r="DU55" i="2"/>
  <c r="DV55" i="2"/>
  <c r="DD55" i="2"/>
  <c r="CG105" i="2"/>
  <c r="DY79" i="2"/>
  <c r="BJ54" i="2"/>
  <c r="EC55" i="2"/>
  <c r="BW79" i="2"/>
  <c r="BU55" i="2"/>
  <c r="ED105" i="2"/>
  <c r="CE79" i="2"/>
  <c r="DD79" i="2"/>
  <c r="CQ80" i="2"/>
  <c r="CS54" i="2"/>
  <c r="CT55" i="2"/>
  <c r="CE104" i="2"/>
  <c r="DT105" i="2"/>
  <c r="DZ79" i="2"/>
  <c r="CL80" i="2"/>
  <c r="BL54" i="2"/>
  <c r="DO54" i="2"/>
  <c r="CO55" i="2"/>
  <c r="DK55" i="2"/>
  <c r="BV55" i="2"/>
  <c r="EH55" i="2"/>
  <c r="DV80" i="2"/>
  <c r="DX54" i="2"/>
  <c r="BX55" i="2"/>
  <c r="EJ55" i="2"/>
  <c r="CL104" i="2"/>
  <c r="CF105" i="2"/>
  <c r="DN105" i="2"/>
  <c r="BN79" i="2"/>
  <c r="CS79" i="2"/>
  <c r="DU79" i="2"/>
  <c r="CD80" i="2"/>
  <c r="DH80" i="2"/>
  <c r="EG80" i="2"/>
  <c r="CH54" i="2"/>
  <c r="DL54" i="2"/>
  <c r="BN55" i="2"/>
  <c r="DZ55" i="2"/>
  <c r="DP105" i="2"/>
  <c r="CT79" i="2"/>
  <c r="DJ80" i="2"/>
  <c r="DN54" i="2"/>
  <c r="BQ55" i="2"/>
  <c r="DI55" i="2"/>
  <c r="CO105" i="2"/>
  <c r="DA79" i="2"/>
  <c r="BJ80" i="2"/>
  <c r="DK80" i="2"/>
  <c r="CP54" i="2"/>
  <c r="EG55" i="2"/>
  <c r="CP55" i="2"/>
  <c r="DL55" i="2"/>
  <c r="CR105" i="2"/>
  <c r="BR80" i="2"/>
  <c r="BT54" i="2"/>
  <c r="EH104" i="2"/>
  <c r="CQ105" i="2"/>
  <c r="EB105" i="2"/>
  <c r="BX79" i="2"/>
  <c r="DC79" i="2"/>
  <c r="EG79" i="2"/>
  <c r="BK80" i="2"/>
  <c r="CP80" i="2"/>
  <c r="DR80" i="2"/>
  <c r="BM54" i="2"/>
  <c r="CR54" i="2"/>
  <c r="DV54" i="2"/>
  <c r="EI79" i="2"/>
  <c r="DN55" i="2"/>
  <c r="AO89" i="2"/>
  <c r="AW89" i="2"/>
  <c r="BE89" i="2"/>
  <c r="BM89" i="2"/>
  <c r="BU89" i="2"/>
  <c r="CC89" i="2"/>
  <c r="CK89" i="2"/>
  <c r="CS89" i="2"/>
  <c r="DA89" i="2"/>
  <c r="DI89" i="2"/>
  <c r="DQ89" i="2"/>
  <c r="DY89" i="2"/>
  <c r="EG89" i="2"/>
  <c r="AS90" i="2"/>
  <c r="BA90" i="2"/>
  <c r="BI90" i="2"/>
  <c r="BQ90" i="2"/>
  <c r="BY90" i="2"/>
  <c r="CG90" i="2"/>
  <c r="CO90" i="2"/>
  <c r="CW90" i="2"/>
  <c r="DE90" i="2"/>
  <c r="DM90" i="2"/>
  <c r="DU90" i="2"/>
  <c r="EC90" i="2"/>
  <c r="AO91" i="2"/>
  <c r="AW91" i="2"/>
  <c r="BE91" i="2"/>
  <c r="BM91" i="2"/>
  <c r="BU91" i="2"/>
  <c r="CC91" i="2"/>
  <c r="CK91" i="2"/>
  <c r="CS91" i="2"/>
  <c r="DA91" i="2"/>
  <c r="DI91" i="2"/>
  <c r="DQ91" i="2"/>
  <c r="DY91" i="2"/>
  <c r="EG91" i="2"/>
  <c r="AS92" i="2"/>
  <c r="BA92" i="2"/>
  <c r="BI92" i="2"/>
  <c r="BQ92" i="2"/>
  <c r="BY92" i="2"/>
  <c r="CG92" i="2"/>
  <c r="CO92" i="2"/>
  <c r="CW92" i="2"/>
  <c r="DE92" i="2"/>
  <c r="DM92" i="2"/>
  <c r="DU92" i="2"/>
  <c r="EC92" i="2"/>
  <c r="AO93" i="2"/>
  <c r="AW93" i="2"/>
  <c r="BE93" i="2"/>
  <c r="BM93" i="2"/>
  <c r="BU93" i="2"/>
  <c r="CC93" i="2"/>
  <c r="CK93" i="2"/>
  <c r="CS93" i="2"/>
  <c r="DA93" i="2"/>
  <c r="DI93" i="2"/>
  <c r="DQ93" i="2"/>
  <c r="DY93" i="2"/>
  <c r="EG93" i="2"/>
  <c r="AS94" i="2"/>
  <c r="BA94" i="2"/>
  <c r="BI94" i="2"/>
  <c r="BQ94" i="2"/>
  <c r="BY94" i="2"/>
  <c r="CG94" i="2"/>
  <c r="CO94" i="2"/>
  <c r="CW94" i="2"/>
  <c r="DE94" i="2"/>
  <c r="DM94" i="2"/>
  <c r="DU94" i="2"/>
  <c r="EC94" i="2"/>
  <c r="AO95" i="2"/>
  <c r="AW95" i="2"/>
  <c r="BE95" i="2"/>
  <c r="BM95" i="2"/>
  <c r="BU95" i="2"/>
  <c r="CC95" i="2"/>
  <c r="CK95" i="2"/>
  <c r="CS95" i="2"/>
  <c r="DA95" i="2"/>
  <c r="DI95" i="2"/>
  <c r="AP89" i="2"/>
  <c r="AX89" i="2"/>
  <c r="BF89" i="2"/>
  <c r="BN89" i="2"/>
  <c r="BV89" i="2"/>
  <c r="CD89" i="2"/>
  <c r="CL89" i="2"/>
  <c r="CT89" i="2"/>
  <c r="AQ89" i="2"/>
  <c r="AY89" i="2"/>
  <c r="BG89" i="2"/>
  <c r="BO89" i="2"/>
  <c r="BW89" i="2"/>
  <c r="CE89" i="2"/>
  <c r="CM89" i="2"/>
  <c r="CU89" i="2"/>
  <c r="DC89" i="2"/>
  <c r="DK89" i="2"/>
  <c r="DS89" i="2"/>
  <c r="EA89" i="2"/>
  <c r="EI89" i="2"/>
  <c r="AU90" i="2"/>
  <c r="BC90" i="2"/>
  <c r="BK90" i="2"/>
  <c r="BS90" i="2"/>
  <c r="CA90" i="2"/>
  <c r="CI90" i="2"/>
  <c r="CQ90" i="2"/>
  <c r="CY90" i="2"/>
  <c r="DG90" i="2"/>
  <c r="DO90" i="2"/>
  <c r="DW90" i="2"/>
  <c r="EE90" i="2"/>
  <c r="AQ91" i="2"/>
  <c r="AY91" i="2"/>
  <c r="BG91" i="2"/>
  <c r="BO91" i="2"/>
  <c r="BW91" i="2"/>
  <c r="CE91" i="2"/>
  <c r="CM91" i="2"/>
  <c r="CU91" i="2"/>
  <c r="DC91" i="2"/>
  <c r="DK91" i="2"/>
  <c r="DS91" i="2"/>
  <c r="EA91" i="2"/>
  <c r="EI91" i="2"/>
  <c r="AU92" i="2"/>
  <c r="BC92" i="2"/>
  <c r="BK92" i="2"/>
  <c r="BS92" i="2"/>
  <c r="CA92" i="2"/>
  <c r="CI92" i="2"/>
  <c r="CQ92" i="2"/>
  <c r="CY92" i="2"/>
  <c r="DG92" i="2"/>
  <c r="DO92" i="2"/>
  <c r="DW92" i="2"/>
  <c r="EE92" i="2"/>
  <c r="AQ93" i="2"/>
  <c r="AY93" i="2"/>
  <c r="BG93" i="2"/>
  <c r="BO93" i="2"/>
  <c r="BW93" i="2"/>
  <c r="CE93" i="2"/>
  <c r="CM93" i="2"/>
  <c r="AR89" i="2"/>
  <c r="AZ89" i="2"/>
  <c r="BH89" i="2"/>
  <c r="BP89" i="2"/>
  <c r="BX89" i="2"/>
  <c r="CF89" i="2"/>
  <c r="CN89" i="2"/>
  <c r="CV89" i="2"/>
  <c r="DD89" i="2"/>
  <c r="DL89" i="2"/>
  <c r="DT89" i="2"/>
  <c r="EB89" i="2"/>
  <c r="EJ89" i="2"/>
  <c r="AV90" i="2"/>
  <c r="BD90" i="2"/>
  <c r="BL90" i="2"/>
  <c r="BT90" i="2"/>
  <c r="CB90" i="2"/>
  <c r="CJ90" i="2"/>
  <c r="CR90" i="2"/>
  <c r="CZ90" i="2"/>
  <c r="DH90" i="2"/>
  <c r="DP90" i="2"/>
  <c r="DX90" i="2"/>
  <c r="EF90" i="2"/>
  <c r="AR91" i="2"/>
  <c r="AZ91" i="2"/>
  <c r="AS89" i="2"/>
  <c r="BA89" i="2"/>
  <c r="BI89" i="2"/>
  <c r="BQ89" i="2"/>
  <c r="BY89" i="2"/>
  <c r="CG89" i="2"/>
  <c r="CO89" i="2"/>
  <c r="CW89" i="2"/>
  <c r="DE89" i="2"/>
  <c r="DM89" i="2"/>
  <c r="DU89" i="2"/>
  <c r="EC89" i="2"/>
  <c r="AO90" i="2"/>
  <c r="AW90" i="2"/>
  <c r="BE90" i="2"/>
  <c r="BM90" i="2"/>
  <c r="BU90" i="2"/>
  <c r="CC90" i="2"/>
  <c r="CK90" i="2"/>
  <c r="CS90" i="2"/>
  <c r="DA90" i="2"/>
  <c r="DI90" i="2"/>
  <c r="DQ90" i="2"/>
  <c r="DY90" i="2"/>
  <c r="EG90" i="2"/>
  <c r="AS91" i="2"/>
  <c r="BA91" i="2"/>
  <c r="BI91" i="2"/>
  <c r="BQ91" i="2"/>
  <c r="BY91" i="2"/>
  <c r="CG91" i="2"/>
  <c r="CO91" i="2"/>
  <c r="CW91" i="2"/>
  <c r="DE91" i="2"/>
  <c r="DM91" i="2"/>
  <c r="DU91" i="2"/>
  <c r="EC91" i="2"/>
  <c r="AT89" i="2"/>
  <c r="BL89" i="2"/>
  <c r="CI89" i="2"/>
  <c r="DB89" i="2"/>
  <c r="DR89" i="2"/>
  <c r="EH89" i="2"/>
  <c r="BB90" i="2"/>
  <c r="BR90" i="2"/>
  <c r="CH90" i="2"/>
  <c r="CX90" i="2"/>
  <c r="DN90" i="2"/>
  <c r="ED90" i="2"/>
  <c r="AX91" i="2"/>
  <c r="BL91" i="2"/>
  <c r="BZ91" i="2"/>
  <c r="CL91" i="2"/>
  <c r="CY91" i="2"/>
  <c r="DL91" i="2"/>
  <c r="DX91" i="2"/>
  <c r="AO92" i="2"/>
  <c r="AY92" i="2"/>
  <c r="BJ92" i="2"/>
  <c r="BU92" i="2"/>
  <c r="CE92" i="2"/>
  <c r="CP92" i="2"/>
  <c r="DA92" i="2"/>
  <c r="DK92" i="2"/>
  <c r="DV92" i="2"/>
  <c r="EG92" i="2"/>
  <c r="AU93" i="2"/>
  <c r="BF93" i="2"/>
  <c r="BQ93" i="2"/>
  <c r="CA93" i="2"/>
  <c r="CL93" i="2"/>
  <c r="CV93" i="2"/>
  <c r="DE93" i="2"/>
  <c r="DN93" i="2"/>
  <c r="DW93" i="2"/>
  <c r="EF93" i="2"/>
  <c r="AT94" i="2"/>
  <c r="BC94" i="2"/>
  <c r="BL94" i="2"/>
  <c r="BU94" i="2"/>
  <c r="CD94" i="2"/>
  <c r="CM94" i="2"/>
  <c r="CV94" i="2"/>
  <c r="DF94" i="2"/>
  <c r="DO94" i="2"/>
  <c r="DX94" i="2"/>
  <c r="EG94" i="2"/>
  <c r="AT95" i="2"/>
  <c r="BC95" i="2"/>
  <c r="BL95" i="2"/>
  <c r="BV95" i="2"/>
  <c r="CE95" i="2"/>
  <c r="CN95" i="2"/>
  <c r="CW95" i="2"/>
  <c r="DF95" i="2"/>
  <c r="DO95" i="2"/>
  <c r="DW95" i="2"/>
  <c r="EE95" i="2"/>
  <c r="AQ96" i="2"/>
  <c r="AY96" i="2"/>
  <c r="BG96" i="2"/>
  <c r="BO96" i="2"/>
  <c r="BW96" i="2"/>
  <c r="CE96" i="2"/>
  <c r="CM96" i="2"/>
  <c r="CU96" i="2"/>
  <c r="DC96" i="2"/>
  <c r="DK96" i="2"/>
  <c r="DS96" i="2"/>
  <c r="EA96" i="2"/>
  <c r="EI96" i="2"/>
  <c r="AU97" i="2"/>
  <c r="BC97" i="2"/>
  <c r="BK97" i="2"/>
  <c r="BS97" i="2"/>
  <c r="CA97" i="2"/>
  <c r="CI97" i="2"/>
  <c r="CQ97" i="2"/>
  <c r="CY97" i="2"/>
  <c r="DG97" i="2"/>
  <c r="DO97" i="2"/>
  <c r="DW97" i="2"/>
  <c r="EE97" i="2"/>
  <c r="AQ98" i="2"/>
  <c r="AY98" i="2"/>
  <c r="BG98" i="2"/>
  <c r="BO98" i="2"/>
  <c r="BW98" i="2"/>
  <c r="AU89" i="2"/>
  <c r="BR89" i="2"/>
  <c r="CJ89" i="2"/>
  <c r="DF89" i="2"/>
  <c r="DV89" i="2"/>
  <c r="AP90" i="2"/>
  <c r="BF90" i="2"/>
  <c r="BV90" i="2"/>
  <c r="CL90" i="2"/>
  <c r="DB90" i="2"/>
  <c r="DR90" i="2"/>
  <c r="EH90" i="2"/>
  <c r="BB91" i="2"/>
  <c r="BN91" i="2"/>
  <c r="CA91" i="2"/>
  <c r="CN91" i="2"/>
  <c r="CZ91" i="2"/>
  <c r="DN91" i="2"/>
  <c r="DZ91" i="2"/>
  <c r="AP92" i="2"/>
  <c r="AZ92" i="2"/>
  <c r="BL92" i="2"/>
  <c r="BV92" i="2"/>
  <c r="CF92" i="2"/>
  <c r="CR92" i="2"/>
  <c r="DB92" i="2"/>
  <c r="DL92" i="2"/>
  <c r="DX92" i="2"/>
  <c r="EH92" i="2"/>
  <c r="AV93" i="2"/>
  <c r="BH93" i="2"/>
  <c r="BR93" i="2"/>
  <c r="CB93" i="2"/>
  <c r="CN93" i="2"/>
  <c r="CW93" i="2"/>
  <c r="DF93" i="2"/>
  <c r="DO93" i="2"/>
  <c r="DX93" i="2"/>
  <c r="EH93" i="2"/>
  <c r="AU94" i="2"/>
  <c r="BD94" i="2"/>
  <c r="BM94" i="2"/>
  <c r="BV94" i="2"/>
  <c r="CE94" i="2"/>
  <c r="CN94" i="2"/>
  <c r="CX94" i="2"/>
  <c r="DG94" i="2"/>
  <c r="DP94" i="2"/>
  <c r="DY94" i="2"/>
  <c r="EH94" i="2"/>
  <c r="AU95" i="2"/>
  <c r="BD95" i="2"/>
  <c r="BN95" i="2"/>
  <c r="BW95" i="2"/>
  <c r="CF95" i="2"/>
  <c r="CO95" i="2"/>
  <c r="CX95" i="2"/>
  <c r="DG95" i="2"/>
  <c r="DP95" i="2"/>
  <c r="DX95" i="2"/>
  <c r="EF95" i="2"/>
  <c r="AR96" i="2"/>
  <c r="AZ96" i="2"/>
  <c r="BH96" i="2"/>
  <c r="BP96" i="2"/>
  <c r="BX96" i="2"/>
  <c r="CF96" i="2"/>
  <c r="CN96" i="2"/>
  <c r="CV96" i="2"/>
  <c r="DD96" i="2"/>
  <c r="DL96" i="2"/>
  <c r="DT96" i="2"/>
  <c r="EB96" i="2"/>
  <c r="EJ96" i="2"/>
  <c r="AV97" i="2"/>
  <c r="BD97" i="2"/>
  <c r="BL97" i="2"/>
  <c r="BT97" i="2"/>
  <c r="CB97" i="2"/>
  <c r="CJ97" i="2"/>
  <c r="CR97" i="2"/>
  <c r="CZ97" i="2"/>
  <c r="DH97" i="2"/>
  <c r="DP97" i="2"/>
  <c r="DX97" i="2"/>
  <c r="EF97" i="2"/>
  <c r="AR98" i="2"/>
  <c r="AZ98" i="2"/>
  <c r="BH98" i="2"/>
  <c r="BP98" i="2"/>
  <c r="AV89" i="2"/>
  <c r="BS89" i="2"/>
  <c r="CP89" i="2"/>
  <c r="DG89" i="2"/>
  <c r="DW89" i="2"/>
  <c r="AQ90" i="2"/>
  <c r="BG90" i="2"/>
  <c r="BW90" i="2"/>
  <c r="CM90" i="2"/>
  <c r="DC90" i="2"/>
  <c r="DS90" i="2"/>
  <c r="EI90" i="2"/>
  <c r="BC91" i="2"/>
  <c r="BP91" i="2"/>
  <c r="CB91" i="2"/>
  <c r="CP91" i="2"/>
  <c r="DB91" i="2"/>
  <c r="DO91" i="2"/>
  <c r="EB91" i="2"/>
  <c r="AQ92" i="2"/>
  <c r="BB92" i="2"/>
  <c r="BM92" i="2"/>
  <c r="BW92" i="2"/>
  <c r="CH92" i="2"/>
  <c r="CS92" i="2"/>
  <c r="DC92" i="2"/>
  <c r="DN92" i="2"/>
  <c r="DY92" i="2"/>
  <c r="EI92" i="2"/>
  <c r="AX93" i="2"/>
  <c r="BI93" i="2"/>
  <c r="BS93" i="2"/>
  <c r="CD93" i="2"/>
  <c r="CO93" i="2"/>
  <c r="CX93" i="2"/>
  <c r="DG93" i="2"/>
  <c r="DP93" i="2"/>
  <c r="DZ93" i="2"/>
  <c r="EI93" i="2"/>
  <c r="AV94" i="2"/>
  <c r="BE94" i="2"/>
  <c r="BN94" i="2"/>
  <c r="BW94" i="2"/>
  <c r="CF94" i="2"/>
  <c r="CP94" i="2"/>
  <c r="CY94" i="2"/>
  <c r="DH94" i="2"/>
  <c r="DQ94" i="2"/>
  <c r="DZ94" i="2"/>
  <c r="EI94" i="2"/>
  <c r="AV95" i="2"/>
  <c r="BF95" i="2"/>
  <c r="BO95" i="2"/>
  <c r="BX95" i="2"/>
  <c r="CG95" i="2"/>
  <c r="CP95" i="2"/>
  <c r="CY95" i="2"/>
  <c r="DH95" i="2"/>
  <c r="DQ95" i="2"/>
  <c r="DY95" i="2"/>
  <c r="EG95" i="2"/>
  <c r="AS96" i="2"/>
  <c r="BA96" i="2"/>
  <c r="BI96" i="2"/>
  <c r="BQ96" i="2"/>
  <c r="BY96" i="2"/>
  <c r="CG96" i="2"/>
  <c r="CO96" i="2"/>
  <c r="CW96" i="2"/>
  <c r="DE96" i="2"/>
  <c r="DM96" i="2"/>
  <c r="DU96" i="2"/>
  <c r="EC96" i="2"/>
  <c r="AO97" i="2"/>
  <c r="AW97" i="2"/>
  <c r="BE97" i="2"/>
  <c r="BM97" i="2"/>
  <c r="BU97" i="2"/>
  <c r="CC97" i="2"/>
  <c r="CK97" i="2"/>
  <c r="CS97" i="2"/>
  <c r="DA97" i="2"/>
  <c r="DI97" i="2"/>
  <c r="DQ97" i="2"/>
  <c r="DY97" i="2"/>
  <c r="BB89" i="2"/>
  <c r="BT89" i="2"/>
  <c r="CQ89" i="2"/>
  <c r="DH89" i="2"/>
  <c r="DX89" i="2"/>
  <c r="AR90" i="2"/>
  <c r="BH90" i="2"/>
  <c r="BX90" i="2"/>
  <c r="CN90" i="2"/>
  <c r="DD90" i="2"/>
  <c r="DT90" i="2"/>
  <c r="EJ90" i="2"/>
  <c r="BD91" i="2"/>
  <c r="BR91" i="2"/>
  <c r="CD91" i="2"/>
  <c r="CQ91" i="2"/>
  <c r="DD91" i="2"/>
  <c r="DP91" i="2"/>
  <c r="ED91" i="2"/>
  <c r="AR92" i="2"/>
  <c r="BD92" i="2"/>
  <c r="BN92" i="2"/>
  <c r="BX92" i="2"/>
  <c r="CJ92" i="2"/>
  <c r="CT92" i="2"/>
  <c r="DD92" i="2"/>
  <c r="DP92" i="2"/>
  <c r="DZ92" i="2"/>
  <c r="EJ92" i="2"/>
  <c r="AZ93" i="2"/>
  <c r="BJ93" i="2"/>
  <c r="BT93" i="2"/>
  <c r="CF93" i="2"/>
  <c r="CP93" i="2"/>
  <c r="CY93" i="2"/>
  <c r="DH93" i="2"/>
  <c r="DR93" i="2"/>
  <c r="EA93" i="2"/>
  <c r="EJ93" i="2"/>
  <c r="AW94" i="2"/>
  <c r="BF94" i="2"/>
  <c r="BO94" i="2"/>
  <c r="BX94" i="2"/>
  <c r="CH94" i="2"/>
  <c r="CQ94" i="2"/>
  <c r="CZ94" i="2"/>
  <c r="DI94" i="2"/>
  <c r="DR94" i="2"/>
  <c r="EA94" i="2"/>
  <c r="EJ94" i="2"/>
  <c r="AX95" i="2"/>
  <c r="BG95" i="2"/>
  <c r="BP95" i="2"/>
  <c r="BY95" i="2"/>
  <c r="CH95" i="2"/>
  <c r="CQ95" i="2"/>
  <c r="CZ95" i="2"/>
  <c r="BC89" i="2"/>
  <c r="BZ89" i="2"/>
  <c r="CR89" i="2"/>
  <c r="DJ89" i="2"/>
  <c r="DZ89" i="2"/>
  <c r="AT90" i="2"/>
  <c r="BJ90" i="2"/>
  <c r="BZ90" i="2"/>
  <c r="CP90" i="2"/>
  <c r="DF90" i="2"/>
  <c r="DV90" i="2"/>
  <c r="AP91" i="2"/>
  <c r="BF91" i="2"/>
  <c r="BS91" i="2"/>
  <c r="CF91" i="2"/>
  <c r="CR91" i="2"/>
  <c r="DF91" i="2"/>
  <c r="DR91" i="2"/>
  <c r="EE91" i="2"/>
  <c r="AT92" i="2"/>
  <c r="BE92" i="2"/>
  <c r="BO92" i="2"/>
  <c r="BZ92" i="2"/>
  <c r="CK92" i="2"/>
  <c r="CU92" i="2"/>
  <c r="DF92" i="2"/>
  <c r="DQ92" i="2"/>
  <c r="EA92" i="2"/>
  <c r="AP93" i="2"/>
  <c r="BA93" i="2"/>
  <c r="BK93" i="2"/>
  <c r="BV93" i="2"/>
  <c r="CG93" i="2"/>
  <c r="CQ93" i="2"/>
  <c r="CZ93" i="2"/>
  <c r="DJ93" i="2"/>
  <c r="DS93" i="2"/>
  <c r="EB93" i="2"/>
  <c r="AO94" i="2"/>
  <c r="AX94" i="2"/>
  <c r="BG94" i="2"/>
  <c r="BP94" i="2"/>
  <c r="BZ94" i="2"/>
  <c r="CI94" i="2"/>
  <c r="CR94" i="2"/>
  <c r="DA94" i="2"/>
  <c r="DJ94" i="2"/>
  <c r="DS94" i="2"/>
  <c r="EB94" i="2"/>
  <c r="AP95" i="2"/>
  <c r="AY95" i="2"/>
  <c r="BH95" i="2"/>
  <c r="BQ95" i="2"/>
  <c r="BZ95" i="2"/>
  <c r="CI95" i="2"/>
  <c r="CR95" i="2"/>
  <c r="DB95" i="2"/>
  <c r="DK95" i="2"/>
  <c r="DS95" i="2"/>
  <c r="EA95" i="2"/>
  <c r="EI95" i="2"/>
  <c r="AU96" i="2"/>
  <c r="BC96" i="2"/>
  <c r="BK96" i="2"/>
  <c r="BD89" i="2"/>
  <c r="CZ89" i="2"/>
  <c r="AY90" i="2"/>
  <c r="CT90" i="2"/>
  <c r="EB90" i="2"/>
  <c r="BV91" i="2"/>
  <c r="DG91" i="2"/>
  <c r="EJ91" i="2"/>
  <c r="BR92" i="2"/>
  <c r="CV92" i="2"/>
  <c r="DT92" i="2"/>
  <c r="BC93" i="2"/>
  <c r="CH93" i="2"/>
  <c r="DD93" i="2"/>
  <c r="ED93" i="2"/>
  <c r="BH94" i="2"/>
  <c r="CC94" i="2"/>
  <c r="DC94" i="2"/>
  <c r="ED94" i="2"/>
  <c r="BB95" i="2"/>
  <c r="CB95" i="2"/>
  <c r="DC95" i="2"/>
  <c r="DT95" i="2"/>
  <c r="EJ95" i="2"/>
  <c r="BD96" i="2"/>
  <c r="BS96" i="2"/>
  <c r="CD96" i="2"/>
  <c r="CR96" i="2"/>
  <c r="DF96" i="2"/>
  <c r="DQ96" i="2"/>
  <c r="EE96" i="2"/>
  <c r="AT97" i="2"/>
  <c r="BH97" i="2"/>
  <c r="BV97" i="2"/>
  <c r="CG97" i="2"/>
  <c r="CU97" i="2"/>
  <c r="DF97" i="2"/>
  <c r="DT97" i="2"/>
  <c r="EG97" i="2"/>
  <c r="AU98" i="2"/>
  <c r="BE98" i="2"/>
  <c r="BQ98" i="2"/>
  <c r="BZ98" i="2"/>
  <c r="CH98" i="2"/>
  <c r="CP98" i="2"/>
  <c r="CX98" i="2"/>
  <c r="DF98" i="2"/>
  <c r="DN98" i="2"/>
  <c r="DV98" i="2"/>
  <c r="ED98" i="2"/>
  <c r="AP99" i="2"/>
  <c r="AX99" i="2"/>
  <c r="BF99" i="2"/>
  <c r="BN99" i="2"/>
  <c r="BV99" i="2"/>
  <c r="CD99" i="2"/>
  <c r="CL99" i="2"/>
  <c r="CT99" i="2"/>
  <c r="DB99" i="2"/>
  <c r="DJ99" i="2"/>
  <c r="DR99" i="2"/>
  <c r="DZ99" i="2"/>
  <c r="EH99" i="2"/>
  <c r="AT100" i="2"/>
  <c r="BB100" i="2"/>
  <c r="BJ100" i="2"/>
  <c r="BR100" i="2"/>
  <c r="BZ100" i="2"/>
  <c r="CH100" i="2"/>
  <c r="CP100" i="2"/>
  <c r="CX100" i="2"/>
  <c r="DF100" i="2"/>
  <c r="DN100" i="2"/>
  <c r="DV100" i="2"/>
  <c r="ED100" i="2"/>
  <c r="AP101" i="2"/>
  <c r="AX101" i="2"/>
  <c r="BF101" i="2"/>
  <c r="BN101" i="2"/>
  <c r="BV101" i="2"/>
  <c r="CD101" i="2"/>
  <c r="CL101" i="2"/>
  <c r="CT101" i="2"/>
  <c r="DB101" i="2"/>
  <c r="DJ101" i="2"/>
  <c r="DR101" i="2"/>
  <c r="DZ101" i="2"/>
  <c r="EH101" i="2"/>
  <c r="AT102" i="2"/>
  <c r="BB102" i="2"/>
  <c r="BJ102" i="2"/>
  <c r="BR102" i="2"/>
  <c r="BZ102" i="2"/>
  <c r="CH102" i="2"/>
  <c r="CP102" i="2"/>
  <c r="CX102" i="2"/>
  <c r="DF102" i="2"/>
  <c r="DN102" i="2"/>
  <c r="DV102" i="2"/>
  <c r="ED102" i="2"/>
  <c r="AN99" i="2"/>
  <c r="AR64" i="2"/>
  <c r="AZ64" i="2"/>
  <c r="BH64" i="2"/>
  <c r="BP64" i="2"/>
  <c r="BX64" i="2"/>
  <c r="CF64" i="2"/>
  <c r="CN64" i="2"/>
  <c r="CV64" i="2"/>
  <c r="DD64" i="2"/>
  <c r="DL64" i="2"/>
  <c r="DT64" i="2"/>
  <c r="EB64" i="2"/>
  <c r="EJ64" i="2"/>
  <c r="AV65" i="2"/>
  <c r="BD65" i="2"/>
  <c r="BL65" i="2"/>
  <c r="BT65" i="2"/>
  <c r="CB65" i="2"/>
  <c r="CJ65" i="2"/>
  <c r="CR65" i="2"/>
  <c r="CZ65" i="2"/>
  <c r="DH65" i="2"/>
  <c r="DP65" i="2"/>
  <c r="DX65" i="2"/>
  <c r="EF65" i="2"/>
  <c r="AR66" i="2"/>
  <c r="AZ66" i="2"/>
  <c r="BH66" i="2"/>
  <c r="BP66" i="2"/>
  <c r="BX66" i="2"/>
  <c r="CF66" i="2"/>
  <c r="BJ89" i="2"/>
  <c r="DN89" i="2"/>
  <c r="AZ90" i="2"/>
  <c r="CU90" i="2"/>
  <c r="AT91" i="2"/>
  <c r="BX91" i="2"/>
  <c r="DH91" i="2"/>
  <c r="AV92" i="2"/>
  <c r="BT92" i="2"/>
  <c r="CX92" i="2"/>
  <c r="EB92" i="2"/>
  <c r="BD93" i="2"/>
  <c r="CI93" i="2"/>
  <c r="DK93" i="2"/>
  <c r="EE93" i="2"/>
  <c r="BJ94" i="2"/>
  <c r="CJ94" i="2"/>
  <c r="DD94" i="2"/>
  <c r="EE94" i="2"/>
  <c r="BI95" i="2"/>
  <c r="CD95" i="2"/>
  <c r="DD95" i="2"/>
  <c r="DU95" i="2"/>
  <c r="AO96" i="2"/>
  <c r="BE96" i="2"/>
  <c r="BT96" i="2"/>
  <c r="CH96" i="2"/>
  <c r="CS96" i="2"/>
  <c r="DG96" i="2"/>
  <c r="DR96" i="2"/>
  <c r="EF96" i="2"/>
  <c r="AX97" i="2"/>
  <c r="BI97" i="2"/>
  <c r="BW97" i="2"/>
  <c r="CH97" i="2"/>
  <c r="CV97" i="2"/>
  <c r="DJ97" i="2"/>
  <c r="DU97" i="2"/>
  <c r="EH97" i="2"/>
  <c r="AV98" i="2"/>
  <c r="BF98" i="2"/>
  <c r="BR98" i="2"/>
  <c r="CA98" i="2"/>
  <c r="CI98" i="2"/>
  <c r="CQ98" i="2"/>
  <c r="CY98" i="2"/>
  <c r="DG98" i="2"/>
  <c r="DO98" i="2"/>
  <c r="DW98" i="2"/>
  <c r="EE98" i="2"/>
  <c r="AQ99" i="2"/>
  <c r="AY99" i="2"/>
  <c r="BG99" i="2"/>
  <c r="BO99" i="2"/>
  <c r="BW99" i="2"/>
  <c r="CE99" i="2"/>
  <c r="CM99" i="2"/>
  <c r="CU99" i="2"/>
  <c r="DC99" i="2"/>
  <c r="DK99" i="2"/>
  <c r="DS99" i="2"/>
  <c r="EA99" i="2"/>
  <c r="EI99" i="2"/>
  <c r="AU100" i="2"/>
  <c r="BC100" i="2"/>
  <c r="BK100" i="2"/>
  <c r="BS100" i="2"/>
  <c r="CA100" i="2"/>
  <c r="CI100" i="2"/>
  <c r="CQ100" i="2"/>
  <c r="CY100" i="2"/>
  <c r="DG100" i="2"/>
  <c r="DO100" i="2"/>
  <c r="DW100" i="2"/>
  <c r="EE100" i="2"/>
  <c r="AQ101" i="2"/>
  <c r="AY101" i="2"/>
  <c r="BG101" i="2"/>
  <c r="BO101" i="2"/>
  <c r="BW101" i="2"/>
  <c r="CE101" i="2"/>
  <c r="CM101" i="2"/>
  <c r="CU101" i="2"/>
  <c r="DC101" i="2"/>
  <c r="DK101" i="2"/>
  <c r="DS101" i="2"/>
  <c r="EA101" i="2"/>
  <c r="EI101" i="2"/>
  <c r="AU102" i="2"/>
  <c r="BC102" i="2"/>
  <c r="BK102" i="2"/>
  <c r="BS102" i="2"/>
  <c r="CA102" i="2"/>
  <c r="CI102" i="2"/>
  <c r="CQ102" i="2"/>
  <c r="CY102" i="2"/>
  <c r="DG102" i="2"/>
  <c r="DO102" i="2"/>
  <c r="DW102" i="2"/>
  <c r="EE102" i="2"/>
  <c r="AN100" i="2"/>
  <c r="AS64" i="2"/>
  <c r="BA64" i="2"/>
  <c r="BI64" i="2"/>
  <c r="BQ64" i="2"/>
  <c r="BY64" i="2"/>
  <c r="CG64" i="2"/>
  <c r="CO64" i="2"/>
  <c r="CW64" i="2"/>
  <c r="DE64" i="2"/>
  <c r="DM64" i="2"/>
  <c r="DU64" i="2"/>
  <c r="EC64" i="2"/>
  <c r="AO65" i="2"/>
  <c r="AW65" i="2"/>
  <c r="BE65" i="2"/>
  <c r="BM65" i="2"/>
  <c r="BU65" i="2"/>
  <c r="CC65" i="2"/>
  <c r="CK65" i="2"/>
  <c r="CS65" i="2"/>
  <c r="DA65" i="2"/>
  <c r="DI65" i="2"/>
  <c r="DQ65" i="2"/>
  <c r="DY65" i="2"/>
  <c r="EG65" i="2"/>
  <c r="AS66" i="2"/>
  <c r="BA66" i="2"/>
  <c r="BI66" i="2"/>
  <c r="BQ66" i="2"/>
  <c r="BY66" i="2"/>
  <c r="CG66" i="2"/>
  <c r="BK89" i="2"/>
  <c r="DO89" i="2"/>
  <c r="BN90" i="2"/>
  <c r="CV90" i="2"/>
  <c r="AU91" i="2"/>
  <c r="CH91" i="2"/>
  <c r="DJ91" i="2"/>
  <c r="AW92" i="2"/>
  <c r="CB92" i="2"/>
  <c r="CZ92" i="2"/>
  <c r="ED92" i="2"/>
  <c r="BL93" i="2"/>
  <c r="CJ93" i="2"/>
  <c r="DL93" i="2"/>
  <c r="AP94" i="2"/>
  <c r="BK94" i="2"/>
  <c r="CK94" i="2"/>
  <c r="DK94" i="2"/>
  <c r="EF94" i="2"/>
  <c r="BJ95" i="2"/>
  <c r="CJ95" i="2"/>
  <c r="DE95" i="2"/>
  <c r="DV95" i="2"/>
  <c r="AP96" i="2"/>
  <c r="BF96" i="2"/>
  <c r="BU96" i="2"/>
  <c r="CI96" i="2"/>
  <c r="CT96" i="2"/>
  <c r="DH96" i="2"/>
  <c r="DV96" i="2"/>
  <c r="EG96" i="2"/>
  <c r="AY97" i="2"/>
  <c r="BJ97" i="2"/>
  <c r="BX97" i="2"/>
  <c r="CL97" i="2"/>
  <c r="CW97" i="2"/>
  <c r="DK97" i="2"/>
  <c r="DV97" i="2"/>
  <c r="EI97" i="2"/>
  <c r="AW98" i="2"/>
  <c r="BI98" i="2"/>
  <c r="BS98" i="2"/>
  <c r="CB98" i="2"/>
  <c r="CJ98" i="2"/>
  <c r="CR98" i="2"/>
  <c r="CZ98" i="2"/>
  <c r="DH98" i="2"/>
  <c r="DP98" i="2"/>
  <c r="DX98" i="2"/>
  <c r="EF98" i="2"/>
  <c r="AR99" i="2"/>
  <c r="AZ99" i="2"/>
  <c r="BH99" i="2"/>
  <c r="BP99" i="2"/>
  <c r="BX99" i="2"/>
  <c r="CF99" i="2"/>
  <c r="CN99" i="2"/>
  <c r="CV99" i="2"/>
  <c r="DD99" i="2"/>
  <c r="DL99" i="2"/>
  <c r="DT99" i="2"/>
  <c r="EB99" i="2"/>
  <c r="EJ99" i="2"/>
  <c r="AV100" i="2"/>
  <c r="BD100" i="2"/>
  <c r="BL100" i="2"/>
  <c r="BT100" i="2"/>
  <c r="CB100" i="2"/>
  <c r="CJ100" i="2"/>
  <c r="CR100" i="2"/>
  <c r="CZ100" i="2"/>
  <c r="DH100" i="2"/>
  <c r="DP100" i="2"/>
  <c r="DX100" i="2"/>
  <c r="EF100" i="2"/>
  <c r="AR101" i="2"/>
  <c r="AZ101" i="2"/>
  <c r="BH101" i="2"/>
  <c r="BP101" i="2"/>
  <c r="BX101" i="2"/>
  <c r="CF101" i="2"/>
  <c r="CN101" i="2"/>
  <c r="CV101" i="2"/>
  <c r="DD101" i="2"/>
  <c r="DL101" i="2"/>
  <c r="CA89" i="2"/>
  <c r="DP89" i="2"/>
  <c r="BO90" i="2"/>
  <c r="DJ90" i="2"/>
  <c r="AV91" i="2"/>
  <c r="CI91" i="2"/>
  <c r="DT91" i="2"/>
  <c r="AX92" i="2"/>
  <c r="CC92" i="2"/>
  <c r="DH92" i="2"/>
  <c r="EF92" i="2"/>
  <c r="BN93" i="2"/>
  <c r="CR93" i="2"/>
  <c r="DM93" i="2"/>
  <c r="AQ94" i="2"/>
  <c r="BR94" i="2"/>
  <c r="CL94" i="2"/>
  <c r="DL94" i="2"/>
  <c r="AQ95" i="2"/>
  <c r="BK95" i="2"/>
  <c r="CL95" i="2"/>
  <c r="DJ95" i="2"/>
  <c r="DZ95" i="2"/>
  <c r="AT96" i="2"/>
  <c r="BJ96" i="2"/>
  <c r="BV96" i="2"/>
  <c r="CJ96" i="2"/>
  <c r="CX96" i="2"/>
  <c r="DI96" i="2"/>
  <c r="DW96" i="2"/>
  <c r="EH96" i="2"/>
  <c r="AZ97" i="2"/>
  <c r="BN97" i="2"/>
  <c r="BY97" i="2"/>
  <c r="CM97" i="2"/>
  <c r="CX97" i="2"/>
  <c r="DL97" i="2"/>
  <c r="DZ97" i="2"/>
  <c r="EJ97" i="2"/>
  <c r="AX98" i="2"/>
  <c r="BJ98" i="2"/>
  <c r="BT98" i="2"/>
  <c r="CC98" i="2"/>
  <c r="CK98" i="2"/>
  <c r="CS98" i="2"/>
  <c r="DA98" i="2"/>
  <c r="DI98" i="2"/>
  <c r="DQ98" i="2"/>
  <c r="DY98" i="2"/>
  <c r="EG98" i="2"/>
  <c r="AS99" i="2"/>
  <c r="BA99" i="2"/>
  <c r="BI99" i="2"/>
  <c r="BQ99" i="2"/>
  <c r="BY99" i="2"/>
  <c r="CG99" i="2"/>
  <c r="CO99" i="2"/>
  <c r="CW99" i="2"/>
  <c r="DE99" i="2"/>
  <c r="DM99" i="2"/>
  <c r="DU99" i="2"/>
  <c r="EC99" i="2"/>
  <c r="AO100" i="2"/>
  <c r="AW100" i="2"/>
  <c r="BE100" i="2"/>
  <c r="BM100" i="2"/>
  <c r="BU100" i="2"/>
  <c r="CC100" i="2"/>
  <c r="CK100" i="2"/>
  <c r="CS100" i="2"/>
  <c r="DA100" i="2"/>
  <c r="DI100" i="2"/>
  <c r="DQ100" i="2"/>
  <c r="DY100" i="2"/>
  <c r="EG100" i="2"/>
  <c r="AS101" i="2"/>
  <c r="BA101" i="2"/>
  <c r="BI101" i="2"/>
  <c r="BQ101" i="2"/>
  <c r="BY101" i="2"/>
  <c r="CG101" i="2"/>
  <c r="CO101" i="2"/>
  <c r="CW101" i="2"/>
  <c r="DE101" i="2"/>
  <c r="DM101" i="2"/>
  <c r="CX89" i="2"/>
  <c r="EF89" i="2"/>
  <c r="CE90" i="2"/>
  <c r="DZ90" i="2"/>
  <c r="BK91" i="2"/>
  <c r="CV91" i="2"/>
  <c r="EF91" i="2"/>
  <c r="BH92" i="2"/>
  <c r="CM92" i="2"/>
  <c r="DR92" i="2"/>
  <c r="AT93" i="2"/>
  <c r="BY93" i="2"/>
  <c r="DB93" i="2"/>
  <c r="DV93" i="2"/>
  <c r="AZ94" i="2"/>
  <c r="CA94" i="2"/>
  <c r="CU94" i="2"/>
  <c r="DV94" i="2"/>
  <c r="AZ95" i="2"/>
  <c r="BT95" i="2"/>
  <c r="CU95" i="2"/>
  <c r="DN95" i="2"/>
  <c r="ED95" i="2"/>
  <c r="AX96" i="2"/>
  <c r="BN96" i="2"/>
  <c r="CB96" i="2"/>
  <c r="CP96" i="2"/>
  <c r="DA96" i="2"/>
  <c r="DO96" i="2"/>
  <c r="DZ96" i="2"/>
  <c r="AR97" i="2"/>
  <c r="BF97" i="2"/>
  <c r="BQ97" i="2"/>
  <c r="CE97" i="2"/>
  <c r="CP97" i="2"/>
  <c r="DD97" i="2"/>
  <c r="DR97" i="2"/>
  <c r="EC97" i="2"/>
  <c r="AS98" i="2"/>
  <c r="BC98" i="2"/>
  <c r="BM98" i="2"/>
  <c r="BX98" i="2"/>
  <c r="CF98" i="2"/>
  <c r="CN98" i="2"/>
  <c r="CV98" i="2"/>
  <c r="DD98" i="2"/>
  <c r="DL98" i="2"/>
  <c r="DT98" i="2"/>
  <c r="EB98" i="2"/>
  <c r="EJ98" i="2"/>
  <c r="AV99" i="2"/>
  <c r="BD99" i="2"/>
  <c r="BL99" i="2"/>
  <c r="BT99" i="2"/>
  <c r="CB99" i="2"/>
  <c r="CJ99" i="2"/>
  <c r="CR99" i="2"/>
  <c r="CZ99" i="2"/>
  <c r="DH99" i="2"/>
  <c r="DP99" i="2"/>
  <c r="DX99" i="2"/>
  <c r="EF99" i="2"/>
  <c r="AR100" i="2"/>
  <c r="AZ100" i="2"/>
  <c r="BH100" i="2"/>
  <c r="BP100" i="2"/>
  <c r="BX100" i="2"/>
  <c r="CF100" i="2"/>
  <c r="CN100" i="2"/>
  <c r="CV100" i="2"/>
  <c r="DD100" i="2"/>
  <c r="DL100" i="2"/>
  <c r="DT100" i="2"/>
  <c r="EB100" i="2"/>
  <c r="EJ100" i="2"/>
  <c r="AV101" i="2"/>
  <c r="BD101" i="2"/>
  <c r="BL101" i="2"/>
  <c r="BT101" i="2"/>
  <c r="CB101" i="2"/>
  <c r="CJ101" i="2"/>
  <c r="CR101" i="2"/>
  <c r="CZ101" i="2"/>
  <c r="DH101" i="2"/>
  <c r="DP101" i="2"/>
  <c r="CY89" i="2"/>
  <c r="AX90" i="2"/>
  <c r="CF90" i="2"/>
  <c r="EA90" i="2"/>
  <c r="BT91" i="2"/>
  <c r="CX91" i="2"/>
  <c r="EH91" i="2"/>
  <c r="BP92" i="2"/>
  <c r="CN92" i="2"/>
  <c r="DS92" i="2"/>
  <c r="BB93" i="2"/>
  <c r="BZ93" i="2"/>
  <c r="DC93" i="2"/>
  <c r="EC93" i="2"/>
  <c r="BB94" i="2"/>
  <c r="CB94" i="2"/>
  <c r="DB94" i="2"/>
  <c r="DW94" i="2"/>
  <c r="BA95" i="2"/>
  <c r="CA95" i="2"/>
  <c r="CV95" i="2"/>
  <c r="DR95" i="2"/>
  <c r="EH95" i="2"/>
  <c r="BB96" i="2"/>
  <c r="BR96" i="2"/>
  <c r="CC96" i="2"/>
  <c r="CQ96" i="2"/>
  <c r="DB96" i="2"/>
  <c r="DP96" i="2"/>
  <c r="ED96" i="2"/>
  <c r="AS97" i="2"/>
  <c r="BG97" i="2"/>
  <c r="BR97" i="2"/>
  <c r="CF97" i="2"/>
  <c r="CT97" i="2"/>
  <c r="DE97" i="2"/>
  <c r="DS97" i="2"/>
  <c r="ED97" i="2"/>
  <c r="AT98" i="2"/>
  <c r="BD98" i="2"/>
  <c r="BN98" i="2"/>
  <c r="BY98" i="2"/>
  <c r="CG98" i="2"/>
  <c r="CO98" i="2"/>
  <c r="CW98" i="2"/>
  <c r="DE98" i="2"/>
  <c r="DM98" i="2"/>
  <c r="DU98" i="2"/>
  <c r="EC98" i="2"/>
  <c r="AO99" i="2"/>
  <c r="AW99" i="2"/>
  <c r="BE99" i="2"/>
  <c r="BM99" i="2"/>
  <c r="BU99" i="2"/>
  <c r="CC99" i="2"/>
  <c r="CK99" i="2"/>
  <c r="CS99" i="2"/>
  <c r="DA99" i="2"/>
  <c r="DI99" i="2"/>
  <c r="DQ99" i="2"/>
  <c r="DY99" i="2"/>
  <c r="EG99" i="2"/>
  <c r="AS100" i="2"/>
  <c r="BA100" i="2"/>
  <c r="BI100" i="2"/>
  <c r="BQ100" i="2"/>
  <c r="BY100" i="2"/>
  <c r="CG100" i="2"/>
  <c r="CO100" i="2"/>
  <c r="CW100" i="2"/>
  <c r="DE100" i="2"/>
  <c r="DM100" i="2"/>
  <c r="DU100" i="2"/>
  <c r="EC100" i="2"/>
  <c r="AO101" i="2"/>
  <c r="AW101" i="2"/>
  <c r="BE101" i="2"/>
  <c r="BM101" i="2"/>
  <c r="BU101" i="2"/>
  <c r="CC101" i="2"/>
  <c r="CK101" i="2"/>
  <c r="CS101" i="2"/>
  <c r="DA101" i="2"/>
  <c r="DI101" i="2"/>
  <c r="DQ101" i="2"/>
  <c r="DY101" i="2"/>
  <c r="CB89" i="2"/>
  <c r="BH91" i="2"/>
  <c r="CD92" i="2"/>
  <c r="CT93" i="2"/>
  <c r="CS94" i="2"/>
  <c r="CM95" i="2"/>
  <c r="BL96" i="2"/>
  <c r="DJ96" i="2"/>
  <c r="BO97" i="2"/>
  <c r="DM97" i="2"/>
  <c r="BK98" i="2"/>
  <c r="CT98" i="2"/>
  <c r="DZ98" i="2"/>
  <c r="BJ99" i="2"/>
  <c r="CP99" i="2"/>
  <c r="DV99" i="2"/>
  <c r="BF100" i="2"/>
  <c r="CL100" i="2"/>
  <c r="DR100" i="2"/>
  <c r="BB101" i="2"/>
  <c r="CH101" i="2"/>
  <c r="DN101" i="2"/>
  <c r="EC101" i="2"/>
  <c r="AQ102" i="2"/>
  <c r="BA102" i="2"/>
  <c r="BM102" i="2"/>
  <c r="BW102" i="2"/>
  <c r="CG102" i="2"/>
  <c r="CS102" i="2"/>
  <c r="DC102" i="2"/>
  <c r="DM102" i="2"/>
  <c r="DY102" i="2"/>
  <c r="EI102" i="2"/>
  <c r="AN98" i="2"/>
  <c r="AU64" i="2"/>
  <c r="BE64" i="2"/>
  <c r="BO64" i="2"/>
  <c r="CA64" i="2"/>
  <c r="CK64" i="2"/>
  <c r="CU64" i="2"/>
  <c r="DG64" i="2"/>
  <c r="DQ64" i="2"/>
  <c r="EA64" i="2"/>
  <c r="AQ65" i="2"/>
  <c r="BA65" i="2"/>
  <c r="BK65" i="2"/>
  <c r="BW65" i="2"/>
  <c r="CG65" i="2"/>
  <c r="CQ65" i="2"/>
  <c r="DC65" i="2"/>
  <c r="DM65" i="2"/>
  <c r="DW65" i="2"/>
  <c r="EI65" i="2"/>
  <c r="AW66" i="2"/>
  <c r="BG66" i="2"/>
  <c r="BS66" i="2"/>
  <c r="CC66" i="2"/>
  <c r="CM66" i="2"/>
  <c r="CU66" i="2"/>
  <c r="DC66" i="2"/>
  <c r="DK66" i="2"/>
  <c r="DS66" i="2"/>
  <c r="EA66" i="2"/>
  <c r="EI66" i="2"/>
  <c r="AU67" i="2"/>
  <c r="BC67" i="2"/>
  <c r="BK67" i="2"/>
  <c r="BS67" i="2"/>
  <c r="CA67" i="2"/>
  <c r="CI67" i="2"/>
  <c r="CQ67" i="2"/>
  <c r="CY67" i="2"/>
  <c r="DG67" i="2"/>
  <c r="DO67" i="2"/>
  <c r="DW67" i="2"/>
  <c r="EE67" i="2"/>
  <c r="AQ68" i="2"/>
  <c r="AY68" i="2"/>
  <c r="BG68" i="2"/>
  <c r="BO68" i="2"/>
  <c r="BW68" i="2"/>
  <c r="CH89" i="2"/>
  <c r="BJ91" i="2"/>
  <c r="CL92" i="2"/>
  <c r="CU93" i="2"/>
  <c r="CT94" i="2"/>
  <c r="CT95" i="2"/>
  <c r="BM96" i="2"/>
  <c r="DN96" i="2"/>
  <c r="BP97" i="2"/>
  <c r="DN97" i="2"/>
  <c r="BL98" i="2"/>
  <c r="CU98" i="2"/>
  <c r="EA98" i="2"/>
  <c r="BK99" i="2"/>
  <c r="CQ99" i="2"/>
  <c r="DW99" i="2"/>
  <c r="BG100" i="2"/>
  <c r="CM100" i="2"/>
  <c r="DS100" i="2"/>
  <c r="BC101" i="2"/>
  <c r="CI101" i="2"/>
  <c r="DO101" i="2"/>
  <c r="ED101" i="2"/>
  <c r="AR102" i="2"/>
  <c r="BD102" i="2"/>
  <c r="BN102" i="2"/>
  <c r="BX102" i="2"/>
  <c r="CJ102" i="2"/>
  <c r="CT102" i="2"/>
  <c r="DD102" i="2"/>
  <c r="DP102" i="2"/>
  <c r="DZ102" i="2"/>
  <c r="EJ102" i="2"/>
  <c r="AN101" i="2"/>
  <c r="AV64" i="2"/>
  <c r="BF64" i="2"/>
  <c r="BR64" i="2"/>
  <c r="CB64" i="2"/>
  <c r="CL64" i="2"/>
  <c r="CX64" i="2"/>
  <c r="DH64" i="2"/>
  <c r="DR64" i="2"/>
  <c r="ED64" i="2"/>
  <c r="AR65" i="2"/>
  <c r="BB65" i="2"/>
  <c r="BN65" i="2"/>
  <c r="BX65" i="2"/>
  <c r="CH65" i="2"/>
  <c r="CT65" i="2"/>
  <c r="DD65" i="2"/>
  <c r="DN65" i="2"/>
  <c r="DZ65" i="2"/>
  <c r="EJ65" i="2"/>
  <c r="AX66" i="2"/>
  <c r="BJ66" i="2"/>
  <c r="BT66" i="2"/>
  <c r="CD66" i="2"/>
  <c r="CN66" i="2"/>
  <c r="CV66" i="2"/>
  <c r="DD66" i="2"/>
  <c r="DL66" i="2"/>
  <c r="DT66" i="2"/>
  <c r="EB66" i="2"/>
  <c r="EJ66" i="2"/>
  <c r="AV67" i="2"/>
  <c r="BD67" i="2"/>
  <c r="BL67" i="2"/>
  <c r="BT67" i="2"/>
  <c r="CB67" i="2"/>
  <c r="CJ67" i="2"/>
  <c r="CR67" i="2"/>
  <c r="CZ67" i="2"/>
  <c r="DH67" i="2"/>
  <c r="DP67" i="2"/>
  <c r="DX67" i="2"/>
  <c r="EF67" i="2"/>
  <c r="AR68" i="2"/>
  <c r="AZ68" i="2"/>
  <c r="BH68" i="2"/>
  <c r="BP68" i="2"/>
  <c r="BX68" i="2"/>
  <c r="CF68" i="2"/>
  <c r="CN68" i="2"/>
  <c r="CV68" i="2"/>
  <c r="DD68" i="2"/>
  <c r="DL68" i="2"/>
  <c r="DT68" i="2"/>
  <c r="EB68" i="2"/>
  <c r="EJ68" i="2"/>
  <c r="AV69" i="2"/>
  <c r="BD69" i="2"/>
  <c r="BL69" i="2"/>
  <c r="BT69" i="2"/>
  <c r="CB69" i="2"/>
  <c r="CJ69" i="2"/>
  <c r="CR69" i="2"/>
  <c r="CZ69" i="2"/>
  <c r="DH69" i="2"/>
  <c r="DP69" i="2"/>
  <c r="DX69" i="2"/>
  <c r="EF69" i="2"/>
  <c r="AR70" i="2"/>
  <c r="AZ70" i="2"/>
  <c r="BH70" i="2"/>
  <c r="BP70" i="2"/>
  <c r="BX70" i="2"/>
  <c r="CF70" i="2"/>
  <c r="CN70" i="2"/>
  <c r="CV70" i="2"/>
  <c r="DD70" i="2"/>
  <c r="DL70" i="2"/>
  <c r="DT70" i="2"/>
  <c r="EB70" i="2"/>
  <c r="EJ70" i="2"/>
  <c r="AV71" i="2"/>
  <c r="BD71" i="2"/>
  <c r="BL71" i="2"/>
  <c r="BT71" i="2"/>
  <c r="CB71" i="2"/>
  <c r="CJ71" i="2"/>
  <c r="CR71" i="2"/>
  <c r="CZ71" i="2"/>
  <c r="DH71" i="2"/>
  <c r="DP71" i="2"/>
  <c r="DX71" i="2"/>
  <c r="EF71" i="2"/>
  <c r="ED89" i="2"/>
  <c r="CJ91" i="2"/>
  <c r="DI92" i="2"/>
  <c r="DT93" i="2"/>
  <c r="DN94" i="2"/>
  <c r="DL95" i="2"/>
  <c r="BZ96" i="2"/>
  <c r="DX96" i="2"/>
  <c r="BZ97" i="2"/>
  <c r="EA97" i="2"/>
  <c r="BU98" i="2"/>
  <c r="DB98" i="2"/>
  <c r="EH98" i="2"/>
  <c r="BR99" i="2"/>
  <c r="CX99" i="2"/>
  <c r="ED99" i="2"/>
  <c r="BN100" i="2"/>
  <c r="CT100" i="2"/>
  <c r="DZ100" i="2"/>
  <c r="BJ101" i="2"/>
  <c r="CP101" i="2"/>
  <c r="DT101" i="2"/>
  <c r="EE101" i="2"/>
  <c r="AS102" i="2"/>
  <c r="BE102" i="2"/>
  <c r="BO102" i="2"/>
  <c r="BY102" i="2"/>
  <c r="CK102" i="2"/>
  <c r="CU102" i="2"/>
  <c r="DE102" i="2"/>
  <c r="DQ102" i="2"/>
  <c r="EA102" i="2"/>
  <c r="AN102" i="2"/>
  <c r="AW64" i="2"/>
  <c r="BG64" i="2"/>
  <c r="BS64" i="2"/>
  <c r="CC64" i="2"/>
  <c r="CM64" i="2"/>
  <c r="CY64" i="2"/>
  <c r="DI64" i="2"/>
  <c r="DS64" i="2"/>
  <c r="EE64" i="2"/>
  <c r="AS65" i="2"/>
  <c r="BC65" i="2"/>
  <c r="BO65" i="2"/>
  <c r="BY65" i="2"/>
  <c r="CI65" i="2"/>
  <c r="CU65" i="2"/>
  <c r="DE65" i="2"/>
  <c r="DO65" i="2"/>
  <c r="EA65" i="2"/>
  <c r="AO66" i="2"/>
  <c r="AY66" i="2"/>
  <c r="BK66" i="2"/>
  <c r="BU66" i="2"/>
  <c r="CE66" i="2"/>
  <c r="CO66" i="2"/>
  <c r="CW66" i="2"/>
  <c r="DE66" i="2"/>
  <c r="DM66" i="2"/>
  <c r="DU66" i="2"/>
  <c r="EC66" i="2"/>
  <c r="AO67" i="2"/>
  <c r="AW67" i="2"/>
  <c r="BE67" i="2"/>
  <c r="BM67" i="2"/>
  <c r="BU67" i="2"/>
  <c r="CC67" i="2"/>
  <c r="CK67" i="2"/>
  <c r="CS67" i="2"/>
  <c r="DA67" i="2"/>
  <c r="DI67" i="2"/>
  <c r="DQ67" i="2"/>
  <c r="DY67" i="2"/>
  <c r="EG67" i="2"/>
  <c r="AS68" i="2"/>
  <c r="BA68" i="2"/>
  <c r="BI68" i="2"/>
  <c r="BQ68" i="2"/>
  <c r="BY68" i="2"/>
  <c r="CG68" i="2"/>
  <c r="CO68" i="2"/>
  <c r="EE89" i="2"/>
  <c r="CT91" i="2"/>
  <c r="DJ92" i="2"/>
  <c r="DU93" i="2"/>
  <c r="DT94" i="2"/>
  <c r="DM95" i="2"/>
  <c r="CA96" i="2"/>
  <c r="DY96" i="2"/>
  <c r="CD97" i="2"/>
  <c r="EB97" i="2"/>
  <c r="BV98" i="2"/>
  <c r="DC98" i="2"/>
  <c r="EI98" i="2"/>
  <c r="BS99" i="2"/>
  <c r="CY99" i="2"/>
  <c r="EE99" i="2"/>
  <c r="BO100" i="2"/>
  <c r="CU100" i="2"/>
  <c r="EA100" i="2"/>
  <c r="BK101" i="2"/>
  <c r="CQ101" i="2"/>
  <c r="DU101" i="2"/>
  <c r="EF101" i="2"/>
  <c r="AV102" i="2"/>
  <c r="BF102" i="2"/>
  <c r="BP102" i="2"/>
  <c r="CB102" i="2"/>
  <c r="CL102" i="2"/>
  <c r="CV102" i="2"/>
  <c r="DH102" i="2"/>
  <c r="DR102" i="2"/>
  <c r="EB102" i="2"/>
  <c r="AX64" i="2"/>
  <c r="BJ64" i="2"/>
  <c r="BT64" i="2"/>
  <c r="CD64" i="2"/>
  <c r="CP64" i="2"/>
  <c r="CZ64" i="2"/>
  <c r="DJ64" i="2"/>
  <c r="DV64" i="2"/>
  <c r="EF64" i="2"/>
  <c r="AT65" i="2"/>
  <c r="BF65" i="2"/>
  <c r="BP65" i="2"/>
  <c r="BZ65" i="2"/>
  <c r="CL65" i="2"/>
  <c r="CV65" i="2"/>
  <c r="DF65" i="2"/>
  <c r="DR65" i="2"/>
  <c r="EB65" i="2"/>
  <c r="AP66" i="2"/>
  <c r="BB66" i="2"/>
  <c r="BL66" i="2"/>
  <c r="BV66" i="2"/>
  <c r="CH66" i="2"/>
  <c r="CP66" i="2"/>
  <c r="CX66" i="2"/>
  <c r="DF66" i="2"/>
  <c r="DN66" i="2"/>
  <c r="DV66" i="2"/>
  <c r="ED66" i="2"/>
  <c r="AP67" i="2"/>
  <c r="AX67" i="2"/>
  <c r="BF67" i="2"/>
  <c r="BN67" i="2"/>
  <c r="BV67" i="2"/>
  <c r="CD67" i="2"/>
  <c r="CL67" i="2"/>
  <c r="CT67" i="2"/>
  <c r="DB67" i="2"/>
  <c r="DJ67" i="2"/>
  <c r="DR67" i="2"/>
  <c r="DZ67" i="2"/>
  <c r="EH67" i="2"/>
  <c r="AT68" i="2"/>
  <c r="BB68" i="2"/>
  <c r="BJ68" i="2"/>
  <c r="BR68" i="2"/>
  <c r="BZ68" i="2"/>
  <c r="CH68" i="2"/>
  <c r="CP68" i="2"/>
  <c r="BP90" i="2"/>
  <c r="DV91" i="2"/>
  <c r="AR93" i="2"/>
  <c r="AR94" i="2"/>
  <c r="AR95" i="2"/>
  <c r="EB95" i="2"/>
  <c r="CK96" i="2"/>
  <c r="AP97" i="2"/>
  <c r="CN97" i="2"/>
  <c r="AO98" i="2"/>
  <c r="CD98" i="2"/>
  <c r="DJ98" i="2"/>
  <c r="AT99" i="2"/>
  <c r="BZ99" i="2"/>
  <c r="DF99" i="2"/>
  <c r="AP100" i="2"/>
  <c r="BV100" i="2"/>
  <c r="DB100" i="2"/>
  <c r="EH100" i="2"/>
  <c r="BR101" i="2"/>
  <c r="CX101" i="2"/>
  <c r="DV101" i="2"/>
  <c r="EG101" i="2"/>
  <c r="AW102" i="2"/>
  <c r="BG102" i="2"/>
  <c r="BQ102" i="2"/>
  <c r="CC102" i="2"/>
  <c r="CM102" i="2"/>
  <c r="CW102" i="2"/>
  <c r="DI102" i="2"/>
  <c r="DS102" i="2"/>
  <c r="EC102" i="2"/>
  <c r="AN94" i="2"/>
  <c r="AO64" i="2"/>
  <c r="AY64" i="2"/>
  <c r="BK64" i="2"/>
  <c r="BU64" i="2"/>
  <c r="CE64" i="2"/>
  <c r="CQ64" i="2"/>
  <c r="DA64" i="2"/>
  <c r="DK64" i="2"/>
  <c r="DW64" i="2"/>
  <c r="EG64" i="2"/>
  <c r="AU65" i="2"/>
  <c r="BG65" i="2"/>
  <c r="BQ65" i="2"/>
  <c r="CA65" i="2"/>
  <c r="CM65" i="2"/>
  <c r="CW65" i="2"/>
  <c r="DG65" i="2"/>
  <c r="DS65" i="2"/>
  <c r="EC65" i="2"/>
  <c r="AQ66" i="2"/>
  <c r="BC66" i="2"/>
  <c r="BM66" i="2"/>
  <c r="BW66" i="2"/>
  <c r="CI66" i="2"/>
  <c r="CQ66" i="2"/>
  <c r="CY66" i="2"/>
  <c r="DG66" i="2"/>
  <c r="DO66" i="2"/>
  <c r="DW66" i="2"/>
  <c r="EE66" i="2"/>
  <c r="AQ67" i="2"/>
  <c r="AY67" i="2"/>
  <c r="BG67" i="2"/>
  <c r="BO67" i="2"/>
  <c r="BW67" i="2"/>
  <c r="CE67" i="2"/>
  <c r="CM67" i="2"/>
  <c r="CU67" i="2"/>
  <c r="DC67" i="2"/>
  <c r="DK67" i="2"/>
  <c r="DS67" i="2"/>
  <c r="EA67" i="2"/>
  <c r="EI67" i="2"/>
  <c r="AU68" i="2"/>
  <c r="BC68" i="2"/>
  <c r="BK68" i="2"/>
  <c r="BS68" i="2"/>
  <c r="CA68" i="2"/>
  <c r="CI68" i="2"/>
  <c r="CQ68" i="2"/>
  <c r="CY68" i="2"/>
  <c r="DG68" i="2"/>
  <c r="DK90" i="2"/>
  <c r="BF92" i="2"/>
  <c r="BP93" i="2"/>
  <c r="BS94" i="2"/>
  <c r="BR95" i="2"/>
  <c r="AV96" i="2"/>
  <c r="CY96" i="2"/>
  <c r="BA97" i="2"/>
  <c r="DB97" i="2"/>
  <c r="BA98" i="2"/>
  <c r="CL98" i="2"/>
  <c r="DR98" i="2"/>
  <c r="BB99" i="2"/>
  <c r="CH99" i="2"/>
  <c r="DN99" i="2"/>
  <c r="AX100" i="2"/>
  <c r="CD100" i="2"/>
  <c r="DJ100" i="2"/>
  <c r="AT101" i="2"/>
  <c r="BZ101" i="2"/>
  <c r="DF101" i="2"/>
  <c r="DX101" i="2"/>
  <c r="AO102" i="2"/>
  <c r="AY102" i="2"/>
  <c r="BI102" i="2"/>
  <c r="BU102" i="2"/>
  <c r="CE102" i="2"/>
  <c r="CO102" i="2"/>
  <c r="DA102" i="2"/>
  <c r="DK102" i="2"/>
  <c r="DU102" i="2"/>
  <c r="EG102" i="2"/>
  <c r="AN96" i="2"/>
  <c r="AQ64" i="2"/>
  <c r="BC64" i="2"/>
  <c r="BM64" i="2"/>
  <c r="BW64" i="2"/>
  <c r="CI64" i="2"/>
  <c r="CS64" i="2"/>
  <c r="DC64" i="2"/>
  <c r="DO64" i="2"/>
  <c r="DY64" i="2"/>
  <c r="EI64" i="2"/>
  <c r="AY65" i="2"/>
  <c r="BI65" i="2"/>
  <c r="BS65" i="2"/>
  <c r="CE65" i="2"/>
  <c r="CO65" i="2"/>
  <c r="CY65" i="2"/>
  <c r="DK65" i="2"/>
  <c r="DU65" i="2"/>
  <c r="DL90" i="2"/>
  <c r="BG92" i="2"/>
  <c r="BX93" i="2"/>
  <c r="BT94" i="2"/>
  <c r="BS95" i="2"/>
  <c r="AW96" i="2"/>
  <c r="CZ96" i="2"/>
  <c r="BB97" i="2"/>
  <c r="DC97" i="2"/>
  <c r="BB98" i="2"/>
  <c r="CM98" i="2"/>
  <c r="DS98" i="2"/>
  <c r="BC99" i="2"/>
  <c r="CI99" i="2"/>
  <c r="DO99" i="2"/>
  <c r="AY100" i="2"/>
  <c r="CE100" i="2"/>
  <c r="DK100" i="2"/>
  <c r="AU101" i="2"/>
  <c r="CA101" i="2"/>
  <c r="DG101" i="2"/>
  <c r="EB101" i="2"/>
  <c r="AP102" i="2"/>
  <c r="AZ102" i="2"/>
  <c r="BL102" i="2"/>
  <c r="BV102" i="2"/>
  <c r="CF102" i="2"/>
  <c r="CR102" i="2"/>
  <c r="DB102" i="2"/>
  <c r="DL102" i="2"/>
  <c r="DX102" i="2"/>
  <c r="EH102" i="2"/>
  <c r="AN97" i="2"/>
  <c r="AT64" i="2"/>
  <c r="BD64" i="2"/>
  <c r="BN64" i="2"/>
  <c r="BZ64" i="2"/>
  <c r="CJ64" i="2"/>
  <c r="CT64" i="2"/>
  <c r="DF64" i="2"/>
  <c r="DP64" i="2"/>
  <c r="DZ64" i="2"/>
  <c r="AP65" i="2"/>
  <c r="AZ65" i="2"/>
  <c r="BJ65" i="2"/>
  <c r="BV65" i="2"/>
  <c r="CF65" i="2"/>
  <c r="CP65" i="2"/>
  <c r="DB65" i="2"/>
  <c r="DL65" i="2"/>
  <c r="DV65" i="2"/>
  <c r="CD90" i="2"/>
  <c r="CO97" i="2"/>
  <c r="BW100" i="2"/>
  <c r="BH102" i="2"/>
  <c r="AN95" i="2"/>
  <c r="DN64" i="2"/>
  <c r="CX65" i="2"/>
  <c r="AV66" i="2"/>
  <c r="CA66" i="2"/>
  <c r="CZ66" i="2"/>
  <c r="DR66" i="2"/>
  <c r="AS67" i="2"/>
  <c r="BP67" i="2"/>
  <c r="CH67" i="2"/>
  <c r="DE67" i="2"/>
  <c r="EB67" i="2"/>
  <c r="AX68" i="2"/>
  <c r="BU68" i="2"/>
  <c r="CL68" i="2"/>
  <c r="CZ68" i="2"/>
  <c r="DJ68" i="2"/>
  <c r="DS68" i="2"/>
  <c r="EC68" i="2"/>
  <c r="AP69" i="2"/>
  <c r="AY69" i="2"/>
  <c r="BH69" i="2"/>
  <c r="BQ69" i="2"/>
  <c r="BZ69" i="2"/>
  <c r="CI69" i="2"/>
  <c r="CS69" i="2"/>
  <c r="DB69" i="2"/>
  <c r="DK69" i="2"/>
  <c r="DT69" i="2"/>
  <c r="EC69" i="2"/>
  <c r="AP70" i="2"/>
  <c r="AY70" i="2"/>
  <c r="BI70" i="2"/>
  <c r="BR70" i="2"/>
  <c r="CA70" i="2"/>
  <c r="CJ70" i="2"/>
  <c r="CS70" i="2"/>
  <c r="DB70" i="2"/>
  <c r="DK70" i="2"/>
  <c r="DU70" i="2"/>
  <c r="ED70" i="2"/>
  <c r="AQ71" i="2"/>
  <c r="AZ71" i="2"/>
  <c r="BI71" i="2"/>
  <c r="BR71" i="2"/>
  <c r="CA71" i="2"/>
  <c r="CK71" i="2"/>
  <c r="CT71" i="2"/>
  <c r="DC71" i="2"/>
  <c r="DL71" i="2"/>
  <c r="DU71" i="2"/>
  <c r="ED71" i="2"/>
  <c r="AQ72" i="2"/>
  <c r="AY72" i="2"/>
  <c r="BG72" i="2"/>
  <c r="BO72" i="2"/>
  <c r="BW72" i="2"/>
  <c r="CE72" i="2"/>
  <c r="CM72" i="2"/>
  <c r="CU72" i="2"/>
  <c r="DC72" i="2"/>
  <c r="DK72" i="2"/>
  <c r="DS72" i="2"/>
  <c r="EA72" i="2"/>
  <c r="EI72" i="2"/>
  <c r="AU73" i="2"/>
  <c r="BC73" i="2"/>
  <c r="BK73" i="2"/>
  <c r="BS73" i="2"/>
  <c r="CA73" i="2"/>
  <c r="CI73" i="2"/>
  <c r="CQ73" i="2"/>
  <c r="CY73" i="2"/>
  <c r="DG73" i="2"/>
  <c r="DO73" i="2"/>
  <c r="DW73" i="2"/>
  <c r="EE73" i="2"/>
  <c r="AQ74" i="2"/>
  <c r="AY74" i="2"/>
  <c r="BG74" i="2"/>
  <c r="BO74" i="2"/>
  <c r="BW74" i="2"/>
  <c r="DW91" i="2"/>
  <c r="AP98" i="2"/>
  <c r="DC100" i="2"/>
  <c r="BT102" i="2"/>
  <c r="AP64" i="2"/>
  <c r="DX64" i="2"/>
  <c r="DJ65" i="2"/>
  <c r="BD66" i="2"/>
  <c r="CB66" i="2"/>
  <c r="DA66" i="2"/>
  <c r="DX66" i="2"/>
  <c r="AT67" i="2"/>
  <c r="BQ67" i="2"/>
  <c r="CN67" i="2"/>
  <c r="DF67" i="2"/>
  <c r="EC67" i="2"/>
  <c r="BD68" i="2"/>
  <c r="BV68" i="2"/>
  <c r="CM68" i="2"/>
  <c r="DA68" i="2"/>
  <c r="DK68" i="2"/>
  <c r="DU68" i="2"/>
  <c r="ED68" i="2"/>
  <c r="AQ69" i="2"/>
  <c r="AZ69" i="2"/>
  <c r="BI69" i="2"/>
  <c r="BR69" i="2"/>
  <c r="CA69" i="2"/>
  <c r="CK69" i="2"/>
  <c r="CT69" i="2"/>
  <c r="DC69" i="2"/>
  <c r="DL69" i="2"/>
  <c r="DU69" i="2"/>
  <c r="ED69" i="2"/>
  <c r="AQ70" i="2"/>
  <c r="BA70" i="2"/>
  <c r="BJ70" i="2"/>
  <c r="BS70" i="2"/>
  <c r="CB70" i="2"/>
  <c r="CK70" i="2"/>
  <c r="CT70" i="2"/>
  <c r="DC70" i="2"/>
  <c r="DM70" i="2"/>
  <c r="DV70" i="2"/>
  <c r="EE70" i="2"/>
  <c r="AR71" i="2"/>
  <c r="BA71" i="2"/>
  <c r="BJ71" i="2"/>
  <c r="BS71" i="2"/>
  <c r="CC71" i="2"/>
  <c r="CL71" i="2"/>
  <c r="CU71" i="2"/>
  <c r="DD71" i="2"/>
  <c r="DM71" i="2"/>
  <c r="DV71" i="2"/>
  <c r="EE71" i="2"/>
  <c r="AR72" i="2"/>
  <c r="AS93" i="2"/>
  <c r="CE98" i="2"/>
  <c r="EI100" i="2"/>
  <c r="CD102" i="2"/>
  <c r="BB64" i="2"/>
  <c r="EH64" i="2"/>
  <c r="DT65" i="2"/>
  <c r="BE66" i="2"/>
  <c r="CJ66" i="2"/>
  <c r="DB66" i="2"/>
  <c r="DY66" i="2"/>
  <c r="AZ67" i="2"/>
  <c r="BR67" i="2"/>
  <c r="CO67" i="2"/>
  <c r="DL67" i="2"/>
  <c r="ED67" i="2"/>
  <c r="BE68" i="2"/>
  <c r="CB68" i="2"/>
  <c r="CR68" i="2"/>
  <c r="DB68" i="2"/>
  <c r="DM68" i="2"/>
  <c r="DV68" i="2"/>
  <c r="EE68" i="2"/>
  <c r="AR69" i="2"/>
  <c r="BA69" i="2"/>
  <c r="BJ69" i="2"/>
  <c r="BS69" i="2"/>
  <c r="CC69" i="2"/>
  <c r="CL69" i="2"/>
  <c r="CU69" i="2"/>
  <c r="DD69" i="2"/>
  <c r="DM69" i="2"/>
  <c r="DV69" i="2"/>
  <c r="EE69" i="2"/>
  <c r="AS70" i="2"/>
  <c r="BB70" i="2"/>
  <c r="BK70" i="2"/>
  <c r="BT70" i="2"/>
  <c r="CC70" i="2"/>
  <c r="CL70" i="2"/>
  <c r="CU70" i="2"/>
  <c r="DE70" i="2"/>
  <c r="DN70" i="2"/>
  <c r="DW70" i="2"/>
  <c r="EF70" i="2"/>
  <c r="AS71" i="2"/>
  <c r="BB71" i="2"/>
  <c r="BK71" i="2"/>
  <c r="BU71" i="2"/>
  <c r="CD71" i="2"/>
  <c r="CM71" i="2"/>
  <c r="CV71" i="2"/>
  <c r="DE71" i="2"/>
  <c r="DN71" i="2"/>
  <c r="DW71" i="2"/>
  <c r="EG71" i="2"/>
  <c r="AS72" i="2"/>
  <c r="AY94" i="2"/>
  <c r="DK98" i="2"/>
  <c r="BS101" i="2"/>
  <c r="CN102" i="2"/>
  <c r="BL64" i="2"/>
  <c r="AX65" i="2"/>
  <c r="ED65" i="2"/>
  <c r="BF66" i="2"/>
  <c r="CK66" i="2"/>
  <c r="DH66" i="2"/>
  <c r="DZ66" i="2"/>
  <c r="BA67" i="2"/>
  <c r="BX67" i="2"/>
  <c r="CP67" i="2"/>
  <c r="DM67" i="2"/>
  <c r="EJ67" i="2"/>
  <c r="BF68" i="2"/>
  <c r="CC68" i="2"/>
  <c r="CS68" i="2"/>
  <c r="DC68" i="2"/>
  <c r="DN68" i="2"/>
  <c r="DW68" i="2"/>
  <c r="EF68" i="2"/>
  <c r="AS69" i="2"/>
  <c r="BB69" i="2"/>
  <c r="BK69" i="2"/>
  <c r="BU69" i="2"/>
  <c r="CD69" i="2"/>
  <c r="CM69" i="2"/>
  <c r="CV69" i="2"/>
  <c r="DE69" i="2"/>
  <c r="DN69" i="2"/>
  <c r="DW69" i="2"/>
  <c r="EG69" i="2"/>
  <c r="AT70" i="2"/>
  <c r="BC70" i="2"/>
  <c r="BL70" i="2"/>
  <c r="BU70" i="2"/>
  <c r="CD70" i="2"/>
  <c r="CM70" i="2"/>
  <c r="CW70" i="2"/>
  <c r="DF70" i="2"/>
  <c r="DO70" i="2"/>
  <c r="DX70" i="2"/>
  <c r="EG70" i="2"/>
  <c r="AT71" i="2"/>
  <c r="BC71" i="2"/>
  <c r="BM71" i="2"/>
  <c r="BV71" i="2"/>
  <c r="CE71" i="2"/>
  <c r="CN71" i="2"/>
  <c r="CW71" i="2"/>
  <c r="DF71" i="2"/>
  <c r="DO71" i="2"/>
  <c r="DY71" i="2"/>
  <c r="EH71" i="2"/>
  <c r="AT72" i="2"/>
  <c r="BB72" i="2"/>
  <c r="BJ72" i="2"/>
  <c r="BR72" i="2"/>
  <c r="BZ72" i="2"/>
  <c r="CH72" i="2"/>
  <c r="CP72" i="2"/>
  <c r="CX72" i="2"/>
  <c r="DF72" i="2"/>
  <c r="DN72" i="2"/>
  <c r="DV72" i="2"/>
  <c r="ED72" i="2"/>
  <c r="AP73" i="2"/>
  <c r="AX73" i="2"/>
  <c r="BF73" i="2"/>
  <c r="BN73" i="2"/>
  <c r="BV73" i="2"/>
  <c r="CD73" i="2"/>
  <c r="CL73" i="2"/>
  <c r="CT73" i="2"/>
  <c r="DB73" i="2"/>
  <c r="DJ73" i="2"/>
  <c r="DR73" i="2"/>
  <c r="DZ73" i="2"/>
  <c r="EH73" i="2"/>
  <c r="AT74" i="2"/>
  <c r="BB74" i="2"/>
  <c r="BJ74" i="2"/>
  <c r="BR74" i="2"/>
  <c r="AS95" i="2"/>
  <c r="AU99" i="2"/>
  <c r="CY101" i="2"/>
  <c r="CZ102" i="2"/>
  <c r="BV64" i="2"/>
  <c r="BH65" i="2"/>
  <c r="EE65" i="2"/>
  <c r="BN66" i="2"/>
  <c r="CL66" i="2"/>
  <c r="DI66" i="2"/>
  <c r="EF66" i="2"/>
  <c r="BB67" i="2"/>
  <c r="BY67" i="2"/>
  <c r="CV67" i="2"/>
  <c r="DN67" i="2"/>
  <c r="AO68" i="2"/>
  <c r="BL68" i="2"/>
  <c r="CD68" i="2"/>
  <c r="CT68" i="2"/>
  <c r="DE68" i="2"/>
  <c r="DO68" i="2"/>
  <c r="DX68" i="2"/>
  <c r="EG68" i="2"/>
  <c r="AT69" i="2"/>
  <c r="BC69" i="2"/>
  <c r="BM69" i="2"/>
  <c r="BV69" i="2"/>
  <c r="CE69" i="2"/>
  <c r="CN69" i="2"/>
  <c r="CW69" i="2"/>
  <c r="DF69" i="2"/>
  <c r="DO69" i="2"/>
  <c r="DY69" i="2"/>
  <c r="EH69" i="2"/>
  <c r="AU70" i="2"/>
  <c r="BD70" i="2"/>
  <c r="BM70" i="2"/>
  <c r="BV70" i="2"/>
  <c r="CE70" i="2"/>
  <c r="CO70" i="2"/>
  <c r="CX70" i="2"/>
  <c r="DG70" i="2"/>
  <c r="DP70" i="2"/>
  <c r="DY70" i="2"/>
  <c r="EH70" i="2"/>
  <c r="AU71" i="2"/>
  <c r="BE71" i="2"/>
  <c r="BN71" i="2"/>
  <c r="BW71" i="2"/>
  <c r="CF71" i="2"/>
  <c r="CO71" i="2"/>
  <c r="CX71" i="2"/>
  <c r="DG71" i="2"/>
  <c r="DQ71" i="2"/>
  <c r="DZ71" i="2"/>
  <c r="EI71" i="2"/>
  <c r="CL96" i="2"/>
  <c r="DG99" i="2"/>
  <c r="EJ101" i="2"/>
  <c r="DT102" i="2"/>
  <c r="CR64" i="2"/>
  <c r="CD65" i="2"/>
  <c r="AT66" i="2"/>
  <c r="BR66" i="2"/>
  <c r="CS66" i="2"/>
  <c r="DP66" i="2"/>
  <c r="EH66" i="2"/>
  <c r="BI67" i="2"/>
  <c r="CF67" i="2"/>
  <c r="CX67" i="2"/>
  <c r="DU67" i="2"/>
  <c r="AV68" i="2"/>
  <c r="BN68" i="2"/>
  <c r="CJ68" i="2"/>
  <c r="CW68" i="2"/>
  <c r="DH68" i="2"/>
  <c r="DQ68" i="2"/>
  <c r="DZ68" i="2"/>
  <c r="EI68" i="2"/>
  <c r="AW69" i="2"/>
  <c r="BF69" i="2"/>
  <c r="BO69" i="2"/>
  <c r="BX69" i="2"/>
  <c r="CG69" i="2"/>
  <c r="CP69" i="2"/>
  <c r="CY69" i="2"/>
  <c r="DI69" i="2"/>
  <c r="DR69" i="2"/>
  <c r="EA69" i="2"/>
  <c r="EJ69" i="2"/>
  <c r="AW70" i="2"/>
  <c r="BF70" i="2"/>
  <c r="BO70" i="2"/>
  <c r="BY70" i="2"/>
  <c r="CH70" i="2"/>
  <c r="CQ70" i="2"/>
  <c r="CZ70" i="2"/>
  <c r="DI70" i="2"/>
  <c r="DR70" i="2"/>
  <c r="EA70" i="2"/>
  <c r="AO71" i="2"/>
  <c r="AX71" i="2"/>
  <c r="BG71" i="2"/>
  <c r="BP71" i="2"/>
  <c r="BY71" i="2"/>
  <c r="CH71" i="2"/>
  <c r="CQ71" i="2"/>
  <c r="DA71" i="2"/>
  <c r="DJ71" i="2"/>
  <c r="DS71" i="2"/>
  <c r="EB71" i="2"/>
  <c r="AO72" i="2"/>
  <c r="AW72" i="2"/>
  <c r="BE72" i="2"/>
  <c r="BM72" i="2"/>
  <c r="BU72" i="2"/>
  <c r="CC72" i="2"/>
  <c r="AQ97" i="2"/>
  <c r="AQ100" i="2"/>
  <c r="AX102" i="2"/>
  <c r="EF102" i="2"/>
  <c r="DB64" i="2"/>
  <c r="CN65" i="2"/>
  <c r="AU66" i="2"/>
  <c r="BZ66" i="2"/>
  <c r="CT66" i="2"/>
  <c r="DQ66" i="2"/>
  <c r="AR67" i="2"/>
  <c r="BJ67" i="2"/>
  <c r="CG67" i="2"/>
  <c r="DD67" i="2"/>
  <c r="DV67" i="2"/>
  <c r="AW68" i="2"/>
  <c r="BT68" i="2"/>
  <c r="CK68" i="2"/>
  <c r="CX68" i="2"/>
  <c r="DI68" i="2"/>
  <c r="DR68" i="2"/>
  <c r="EA68" i="2"/>
  <c r="AO69" i="2"/>
  <c r="AX69" i="2"/>
  <c r="BG69" i="2"/>
  <c r="BP69" i="2"/>
  <c r="BY69" i="2"/>
  <c r="CH69" i="2"/>
  <c r="CQ69" i="2"/>
  <c r="DA69" i="2"/>
  <c r="EC95" i="2"/>
  <c r="CR66" i="2"/>
  <c r="BM68" i="2"/>
  <c r="BE69" i="2"/>
  <c r="DQ69" i="2"/>
  <c r="BE70" i="2"/>
  <c r="CP70" i="2"/>
  <c r="DZ70" i="2"/>
  <c r="BO71" i="2"/>
  <c r="CY71" i="2"/>
  <c r="EJ71" i="2"/>
  <c r="BD72" i="2"/>
  <c r="BQ72" i="2"/>
  <c r="CD72" i="2"/>
  <c r="CO72" i="2"/>
  <c r="CZ72" i="2"/>
  <c r="DJ72" i="2"/>
  <c r="DU72" i="2"/>
  <c r="EF72" i="2"/>
  <c r="AT73" i="2"/>
  <c r="BE73" i="2"/>
  <c r="BP73" i="2"/>
  <c r="BZ73" i="2"/>
  <c r="CK73" i="2"/>
  <c r="CV73" i="2"/>
  <c r="DF73" i="2"/>
  <c r="DQ73" i="2"/>
  <c r="EB73" i="2"/>
  <c r="AP74" i="2"/>
  <c r="BA74" i="2"/>
  <c r="BL74" i="2"/>
  <c r="BV74" i="2"/>
  <c r="CE74" i="2"/>
  <c r="CM74" i="2"/>
  <c r="CU74" i="2"/>
  <c r="DC74" i="2"/>
  <c r="DK74" i="2"/>
  <c r="DS74" i="2"/>
  <c r="EA74" i="2"/>
  <c r="EI74" i="2"/>
  <c r="AU75" i="2"/>
  <c r="BC75" i="2"/>
  <c r="BK75" i="2"/>
  <c r="BS75" i="2"/>
  <c r="CA75" i="2"/>
  <c r="CI75" i="2"/>
  <c r="CQ75" i="2"/>
  <c r="CY75" i="2"/>
  <c r="DG75" i="2"/>
  <c r="DO75" i="2"/>
  <c r="DW75" i="2"/>
  <c r="EE75" i="2"/>
  <c r="AQ76" i="2"/>
  <c r="AY76" i="2"/>
  <c r="BG76" i="2"/>
  <c r="BO76" i="2"/>
  <c r="BW76" i="2"/>
  <c r="CE76" i="2"/>
  <c r="CM76" i="2"/>
  <c r="CU76" i="2"/>
  <c r="DC76" i="2"/>
  <c r="DK76" i="2"/>
  <c r="DS76" i="2"/>
  <c r="EA76" i="2"/>
  <c r="EI76" i="2"/>
  <c r="AU77" i="2"/>
  <c r="BC77" i="2"/>
  <c r="BK77" i="2"/>
  <c r="BS77" i="2"/>
  <c r="CA77" i="2"/>
  <c r="CI77" i="2"/>
  <c r="CQ77" i="2"/>
  <c r="CY77" i="2"/>
  <c r="DG77" i="2"/>
  <c r="DO77" i="2"/>
  <c r="DW77" i="2"/>
  <c r="EE77" i="2"/>
  <c r="AN75" i="2"/>
  <c r="AA68" i="2"/>
  <c r="AB68" i="2" s="1"/>
  <c r="AC68" i="2" s="1"/>
  <c r="AA65" i="2"/>
  <c r="AB65" i="2" s="1"/>
  <c r="AC65" i="2" s="1"/>
  <c r="DB75" i="2"/>
  <c r="DF76" i="2"/>
  <c r="AX77" i="2"/>
  <c r="CL77" i="2"/>
  <c r="DR77" i="2"/>
  <c r="AA70" i="2"/>
  <c r="AB70" i="2" s="1"/>
  <c r="AC70" i="2" s="1"/>
  <c r="BL72" i="2"/>
  <c r="DX73" i="2"/>
  <c r="DP74" i="2"/>
  <c r="BP75" i="2"/>
  <c r="DD75" i="2"/>
  <c r="AV76" i="2"/>
  <c r="CJ76" i="2"/>
  <c r="DP76" i="2"/>
  <c r="BX77" i="2"/>
  <c r="DT77" i="2"/>
  <c r="AA98" i="2"/>
  <c r="AB98" i="2" s="1"/>
  <c r="AC98" i="2" s="1"/>
  <c r="CT74" i="2"/>
  <c r="CH75" i="2"/>
  <c r="ED75" i="2"/>
  <c r="CL76" i="2"/>
  <c r="BB77" i="2"/>
  <c r="CP77" i="2"/>
  <c r="ED77" i="2"/>
  <c r="AA93" i="2"/>
  <c r="AB93" i="2" s="1"/>
  <c r="AC93" i="2" s="1"/>
  <c r="CA99" i="2"/>
  <c r="DJ66" i="2"/>
  <c r="CE68" i="2"/>
  <c r="BN69" i="2"/>
  <c r="DS69" i="2"/>
  <c r="BG70" i="2"/>
  <c r="CR70" i="2"/>
  <c r="EC70" i="2"/>
  <c r="BQ71" i="2"/>
  <c r="DB71" i="2"/>
  <c r="AP72" i="2"/>
  <c r="BF72" i="2"/>
  <c r="BS72" i="2"/>
  <c r="CF72" i="2"/>
  <c r="CQ72" i="2"/>
  <c r="DA72" i="2"/>
  <c r="DL72" i="2"/>
  <c r="DW72" i="2"/>
  <c r="EG72" i="2"/>
  <c r="AV73" i="2"/>
  <c r="BG73" i="2"/>
  <c r="BQ73" i="2"/>
  <c r="CB73" i="2"/>
  <c r="CM73" i="2"/>
  <c r="CW73" i="2"/>
  <c r="DH73" i="2"/>
  <c r="DS73" i="2"/>
  <c r="EC73" i="2"/>
  <c r="AR74" i="2"/>
  <c r="BC74" i="2"/>
  <c r="BM74" i="2"/>
  <c r="BX74" i="2"/>
  <c r="CF74" i="2"/>
  <c r="CN74" i="2"/>
  <c r="CV74" i="2"/>
  <c r="DD74" i="2"/>
  <c r="DL74" i="2"/>
  <c r="DT74" i="2"/>
  <c r="EB74" i="2"/>
  <c r="EJ74" i="2"/>
  <c r="AV75" i="2"/>
  <c r="BD75" i="2"/>
  <c r="BL75" i="2"/>
  <c r="BT75" i="2"/>
  <c r="CB75" i="2"/>
  <c r="CJ75" i="2"/>
  <c r="CR75" i="2"/>
  <c r="CZ75" i="2"/>
  <c r="DH75" i="2"/>
  <c r="DP75" i="2"/>
  <c r="DX75" i="2"/>
  <c r="EF75" i="2"/>
  <c r="AR76" i="2"/>
  <c r="AZ76" i="2"/>
  <c r="BH76" i="2"/>
  <c r="BP76" i="2"/>
  <c r="BX76" i="2"/>
  <c r="CF76" i="2"/>
  <c r="CN76" i="2"/>
  <c r="CV76" i="2"/>
  <c r="DD76" i="2"/>
  <c r="DL76" i="2"/>
  <c r="DT76" i="2"/>
  <c r="EB76" i="2"/>
  <c r="EJ76" i="2"/>
  <c r="AV77" i="2"/>
  <c r="BD77" i="2"/>
  <c r="BL77" i="2"/>
  <c r="BT77" i="2"/>
  <c r="CB77" i="2"/>
  <c r="CJ77" i="2"/>
  <c r="CR77" i="2"/>
  <c r="CZ77" i="2"/>
  <c r="DH77" i="2"/>
  <c r="DP77" i="2"/>
  <c r="DX77" i="2"/>
  <c r="EF77" i="2"/>
  <c r="AN76" i="2"/>
  <c r="AA100" i="2"/>
  <c r="AB100" i="2" s="1"/>
  <c r="AC100" i="2" s="1"/>
  <c r="AA96" i="2"/>
  <c r="AB96" i="2" s="1"/>
  <c r="AC96" i="2" s="1"/>
  <c r="AA92" i="2"/>
  <c r="AB92" i="2" s="1"/>
  <c r="AC92" i="2" s="1"/>
  <c r="AA74" i="2"/>
  <c r="AB74" i="2" s="1"/>
  <c r="AC74" i="2" s="1"/>
  <c r="AA71" i="2"/>
  <c r="AB71" i="2" s="1"/>
  <c r="AC71" i="2" s="1"/>
  <c r="CD75" i="2"/>
  <c r="CH76" i="2"/>
  <c r="ED76" i="2"/>
  <c r="BN77" i="2"/>
  <c r="CT77" i="2"/>
  <c r="EH77" i="2"/>
  <c r="AA91" i="2"/>
  <c r="AB91" i="2" s="1"/>
  <c r="AC91" i="2" s="1"/>
  <c r="AZ72" i="2"/>
  <c r="BL73" i="2"/>
  <c r="CR73" i="2"/>
  <c r="DM73" i="2"/>
  <c r="BH74" i="2"/>
  <c r="CB74" i="2"/>
  <c r="CR74" i="2"/>
  <c r="DX74" i="2"/>
  <c r="AR75" i="2"/>
  <c r="BX75" i="2"/>
  <c r="CV75" i="2"/>
  <c r="EB75" i="2"/>
  <c r="BL76" i="2"/>
  <c r="CZ76" i="2"/>
  <c r="EF76" i="2"/>
  <c r="BH77" i="2"/>
  <c r="CV77" i="2"/>
  <c r="EB77" i="2"/>
  <c r="AA94" i="2"/>
  <c r="AB94" i="2" s="1"/>
  <c r="AC94" i="2" s="1"/>
  <c r="CD74" i="2"/>
  <c r="CP75" i="2"/>
  <c r="AX76" i="2"/>
  <c r="CT76" i="2"/>
  <c r="DZ76" i="2"/>
  <c r="BZ77" i="2"/>
  <c r="CX77" i="2"/>
  <c r="AN74" i="2"/>
  <c r="DW101" i="2"/>
  <c r="EG66" i="2"/>
  <c r="CU68" i="2"/>
  <c r="BW69" i="2"/>
  <c r="DZ69" i="2"/>
  <c r="BN70" i="2"/>
  <c r="CY70" i="2"/>
  <c r="EI70" i="2"/>
  <c r="BX71" i="2"/>
  <c r="DI71" i="2"/>
  <c r="AU72" i="2"/>
  <c r="BH72" i="2"/>
  <c r="BT72" i="2"/>
  <c r="CG72" i="2"/>
  <c r="CR72" i="2"/>
  <c r="DB72" i="2"/>
  <c r="DM72" i="2"/>
  <c r="DX72" i="2"/>
  <c r="EH72" i="2"/>
  <c r="AW73" i="2"/>
  <c r="BH73" i="2"/>
  <c r="BR73" i="2"/>
  <c r="CC73" i="2"/>
  <c r="CN73" i="2"/>
  <c r="CX73" i="2"/>
  <c r="DI73" i="2"/>
  <c r="DT73" i="2"/>
  <c r="ED73" i="2"/>
  <c r="AS74" i="2"/>
  <c r="BD74" i="2"/>
  <c r="BN74" i="2"/>
  <c r="BY74" i="2"/>
  <c r="CG74" i="2"/>
  <c r="CO74" i="2"/>
  <c r="CW74" i="2"/>
  <c r="DE74" i="2"/>
  <c r="DM74" i="2"/>
  <c r="DU74" i="2"/>
  <c r="EC74" i="2"/>
  <c r="AO75" i="2"/>
  <c r="AW75" i="2"/>
  <c r="BE75" i="2"/>
  <c r="BM75" i="2"/>
  <c r="BU75" i="2"/>
  <c r="CC75" i="2"/>
  <c r="CK75" i="2"/>
  <c r="CS75" i="2"/>
  <c r="DA75" i="2"/>
  <c r="DI75" i="2"/>
  <c r="DQ75" i="2"/>
  <c r="DY75" i="2"/>
  <c r="EG75" i="2"/>
  <c r="AS76" i="2"/>
  <c r="BA76" i="2"/>
  <c r="BI76" i="2"/>
  <c r="BQ76" i="2"/>
  <c r="BY76" i="2"/>
  <c r="CG76" i="2"/>
  <c r="CO76" i="2"/>
  <c r="CW76" i="2"/>
  <c r="DE76" i="2"/>
  <c r="DM76" i="2"/>
  <c r="DU76" i="2"/>
  <c r="EC76" i="2"/>
  <c r="AO77" i="2"/>
  <c r="AW77" i="2"/>
  <c r="BE77" i="2"/>
  <c r="BM77" i="2"/>
  <c r="BU77" i="2"/>
  <c r="CC77" i="2"/>
  <c r="CK77" i="2"/>
  <c r="CS77" i="2"/>
  <c r="DA77" i="2"/>
  <c r="DI77" i="2"/>
  <c r="DQ77" i="2"/>
  <c r="DY77" i="2"/>
  <c r="EG77" i="2"/>
  <c r="AN69" i="2"/>
  <c r="AN77" i="2"/>
  <c r="AA77" i="2"/>
  <c r="AB77" i="2" s="1"/>
  <c r="AC77" i="2" s="1"/>
  <c r="AA64" i="2"/>
  <c r="AB64" i="2" s="1"/>
  <c r="AC64" i="2" s="1"/>
  <c r="CL75" i="2"/>
  <c r="CP76" i="2"/>
  <c r="DV76" i="2"/>
  <c r="BF77" i="2"/>
  <c r="CD77" i="2"/>
  <c r="DJ77" i="2"/>
  <c r="AN70" i="2"/>
  <c r="AA95" i="2"/>
  <c r="AB95" i="2" s="1"/>
  <c r="AC95" i="2" s="1"/>
  <c r="BT76" i="2"/>
  <c r="AN72" i="2"/>
  <c r="BJ75" i="2"/>
  <c r="AT77" i="2"/>
  <c r="DJ102" i="2"/>
  <c r="BH67" i="2"/>
  <c r="DF68" i="2"/>
  <c r="CF69" i="2"/>
  <c r="EB69" i="2"/>
  <c r="BQ70" i="2"/>
  <c r="DA70" i="2"/>
  <c r="AP71" i="2"/>
  <c r="BZ71" i="2"/>
  <c r="DK71" i="2"/>
  <c r="AV72" i="2"/>
  <c r="BI72" i="2"/>
  <c r="BV72" i="2"/>
  <c r="CI72" i="2"/>
  <c r="CS72" i="2"/>
  <c r="DD72" i="2"/>
  <c r="DO72" i="2"/>
  <c r="DY72" i="2"/>
  <c r="EJ72" i="2"/>
  <c r="AY73" i="2"/>
  <c r="BI73" i="2"/>
  <c r="BT73" i="2"/>
  <c r="CE73" i="2"/>
  <c r="CO73" i="2"/>
  <c r="CZ73" i="2"/>
  <c r="DK73" i="2"/>
  <c r="DU73" i="2"/>
  <c r="EF73" i="2"/>
  <c r="AU74" i="2"/>
  <c r="BE74" i="2"/>
  <c r="BP74" i="2"/>
  <c r="BZ74" i="2"/>
  <c r="CH74" i="2"/>
  <c r="CP74" i="2"/>
  <c r="CX74" i="2"/>
  <c r="DF74" i="2"/>
  <c r="DN74" i="2"/>
  <c r="DV74" i="2"/>
  <c r="ED74" i="2"/>
  <c r="AP75" i="2"/>
  <c r="AX75" i="2"/>
  <c r="BF75" i="2"/>
  <c r="BN75" i="2"/>
  <c r="BV75" i="2"/>
  <c r="CT75" i="2"/>
  <c r="DJ75" i="2"/>
  <c r="DR75" i="2"/>
  <c r="DZ75" i="2"/>
  <c r="EH75" i="2"/>
  <c r="AT76" i="2"/>
  <c r="BB76" i="2"/>
  <c r="BJ76" i="2"/>
  <c r="BR76" i="2"/>
  <c r="BZ76" i="2"/>
  <c r="CX76" i="2"/>
  <c r="DN76" i="2"/>
  <c r="AP77" i="2"/>
  <c r="BV77" i="2"/>
  <c r="DB77" i="2"/>
  <c r="DZ77" i="2"/>
  <c r="AA99" i="2"/>
  <c r="AB99" i="2" s="1"/>
  <c r="AC99" i="2" s="1"/>
  <c r="AA67" i="2"/>
  <c r="AB67" i="2" s="1"/>
  <c r="AC67" i="2" s="1"/>
  <c r="CI71" i="2"/>
  <c r="EI73" i="2"/>
  <c r="CZ74" i="2"/>
  <c r="AZ75" i="2"/>
  <c r="CN75" i="2"/>
  <c r="DT75" i="2"/>
  <c r="BD76" i="2"/>
  <c r="CR76" i="2"/>
  <c r="DX76" i="2"/>
  <c r="AZ77" i="2"/>
  <c r="CF77" i="2"/>
  <c r="DD77" i="2"/>
  <c r="AA102" i="2"/>
  <c r="AB102" i="2" s="1"/>
  <c r="AC102" i="2" s="1"/>
  <c r="DB74" i="2"/>
  <c r="BZ75" i="2"/>
  <c r="DN75" i="2"/>
  <c r="AP76" i="2"/>
  <c r="BV76" i="2"/>
  <c r="DJ76" i="2"/>
  <c r="BJ77" i="2"/>
  <c r="DF77" i="2"/>
  <c r="AA97" i="2"/>
  <c r="AB97" i="2" s="1"/>
  <c r="AC97" i="2" s="1"/>
  <c r="CH64" i="2"/>
  <c r="BZ67" i="2"/>
  <c r="DP68" i="2"/>
  <c r="CO69" i="2"/>
  <c r="EI69" i="2"/>
  <c r="BW70" i="2"/>
  <c r="DH70" i="2"/>
  <c r="AW71" i="2"/>
  <c r="CG71" i="2"/>
  <c r="DR71" i="2"/>
  <c r="AX72" i="2"/>
  <c r="BK72" i="2"/>
  <c r="BX72" i="2"/>
  <c r="CJ72" i="2"/>
  <c r="CT72" i="2"/>
  <c r="DE72" i="2"/>
  <c r="DP72" i="2"/>
  <c r="DZ72" i="2"/>
  <c r="AO73" i="2"/>
  <c r="AZ73" i="2"/>
  <c r="BJ73" i="2"/>
  <c r="BU73" i="2"/>
  <c r="CF73" i="2"/>
  <c r="CP73" i="2"/>
  <c r="DA73" i="2"/>
  <c r="DL73" i="2"/>
  <c r="DV73" i="2"/>
  <c r="EG73" i="2"/>
  <c r="AV74" i="2"/>
  <c r="BF74" i="2"/>
  <c r="BQ74" i="2"/>
  <c r="CA74" i="2"/>
  <c r="CI74" i="2"/>
  <c r="CQ74" i="2"/>
  <c r="CY74" i="2"/>
  <c r="DG74" i="2"/>
  <c r="DO74" i="2"/>
  <c r="DW74" i="2"/>
  <c r="EE74" i="2"/>
  <c r="AQ75" i="2"/>
  <c r="AY75" i="2"/>
  <c r="BG75" i="2"/>
  <c r="BO75" i="2"/>
  <c r="BW75" i="2"/>
  <c r="CE75" i="2"/>
  <c r="CM75" i="2"/>
  <c r="CU75" i="2"/>
  <c r="DC75" i="2"/>
  <c r="DK75" i="2"/>
  <c r="DS75" i="2"/>
  <c r="EA75" i="2"/>
  <c r="EI75" i="2"/>
  <c r="AU76" i="2"/>
  <c r="BC76" i="2"/>
  <c r="BK76" i="2"/>
  <c r="BS76" i="2"/>
  <c r="CA76" i="2"/>
  <c r="CI76" i="2"/>
  <c r="CQ76" i="2"/>
  <c r="CY76" i="2"/>
  <c r="DG76" i="2"/>
  <c r="DO76" i="2"/>
  <c r="DW76" i="2"/>
  <c r="EE76" i="2"/>
  <c r="AQ77" i="2"/>
  <c r="AY77" i="2"/>
  <c r="BG77" i="2"/>
  <c r="BO77" i="2"/>
  <c r="BW77" i="2"/>
  <c r="CE77" i="2"/>
  <c r="CM77" i="2"/>
  <c r="CU77" i="2"/>
  <c r="DC77" i="2"/>
  <c r="DK77" i="2"/>
  <c r="DS77" i="2"/>
  <c r="EA77" i="2"/>
  <c r="EI77" i="2"/>
  <c r="AN71" i="2"/>
  <c r="AA76" i="2"/>
  <c r="AB76" i="2" s="1"/>
  <c r="AC76" i="2" s="1"/>
  <c r="AA73" i="2"/>
  <c r="AB73" i="2" s="1"/>
  <c r="AC73" i="2" s="1"/>
  <c r="BR65" i="2"/>
  <c r="CW67" i="2"/>
  <c r="DY68" i="2"/>
  <c r="CX69" i="2"/>
  <c r="AO70" i="2"/>
  <c r="BZ70" i="2"/>
  <c r="DJ70" i="2"/>
  <c r="AY71" i="2"/>
  <c r="DT71" i="2"/>
  <c r="BY72" i="2"/>
  <c r="CK72" i="2"/>
  <c r="CV72" i="2"/>
  <c r="DG72" i="2"/>
  <c r="DQ72" i="2"/>
  <c r="EB72" i="2"/>
  <c r="AQ73" i="2"/>
  <c r="BA73" i="2"/>
  <c r="BW73" i="2"/>
  <c r="CG73" i="2"/>
  <c r="DC73" i="2"/>
  <c r="AW74" i="2"/>
  <c r="BS74" i="2"/>
  <c r="CJ74" i="2"/>
  <c r="DH74" i="2"/>
  <c r="EF74" i="2"/>
  <c r="BH75" i="2"/>
  <c r="CF75" i="2"/>
  <c r="DL75" i="2"/>
  <c r="EJ75" i="2"/>
  <c r="CB76" i="2"/>
  <c r="DH76" i="2"/>
  <c r="AR77" i="2"/>
  <c r="BP77" i="2"/>
  <c r="CN77" i="2"/>
  <c r="DL77" i="2"/>
  <c r="EJ77" i="2"/>
  <c r="AA90" i="2"/>
  <c r="AB90" i="2" s="1"/>
  <c r="AC90" i="2" s="1"/>
  <c r="AA66" i="2"/>
  <c r="AB66" i="2" s="1"/>
  <c r="AC66" i="2" s="1"/>
  <c r="CL74" i="2"/>
  <c r="DF75" i="2"/>
  <c r="BN76" i="2"/>
  <c r="DB76" i="2"/>
  <c r="EH76" i="2"/>
  <c r="CH77" i="2"/>
  <c r="DN77" i="2"/>
  <c r="AA101" i="2"/>
  <c r="AB101" i="2" s="1"/>
  <c r="AC101" i="2" s="1"/>
  <c r="AA75" i="2"/>
  <c r="AB75" i="2" s="1"/>
  <c r="AC75" i="2" s="1"/>
  <c r="EH65" i="2"/>
  <c r="DT67" i="2"/>
  <c r="EH68" i="2"/>
  <c r="DG69" i="2"/>
  <c r="AV70" i="2"/>
  <c r="CG70" i="2"/>
  <c r="DQ70" i="2"/>
  <c r="BF71" i="2"/>
  <c r="CP71" i="2"/>
  <c r="EA71" i="2"/>
  <c r="BA72" i="2"/>
  <c r="BN72" i="2"/>
  <c r="CA72" i="2"/>
  <c r="CL72" i="2"/>
  <c r="CW72" i="2"/>
  <c r="DH72" i="2"/>
  <c r="DR72" i="2"/>
  <c r="EC72" i="2"/>
  <c r="AR73" i="2"/>
  <c r="BB73" i="2"/>
  <c r="BM73" i="2"/>
  <c r="BX73" i="2"/>
  <c r="CH73" i="2"/>
  <c r="CS73" i="2"/>
  <c r="DD73" i="2"/>
  <c r="DN73" i="2"/>
  <c r="DY73" i="2"/>
  <c r="EJ73" i="2"/>
  <c r="AX74" i="2"/>
  <c r="BI74" i="2"/>
  <c r="BT74" i="2"/>
  <c r="CC74" i="2"/>
  <c r="CK74" i="2"/>
  <c r="CS74" i="2"/>
  <c r="DA74" i="2"/>
  <c r="DI74" i="2"/>
  <c r="DQ74" i="2"/>
  <c r="DY74" i="2"/>
  <c r="EG74" i="2"/>
  <c r="AS75" i="2"/>
  <c r="BA75" i="2"/>
  <c r="BI75" i="2"/>
  <c r="BQ75" i="2"/>
  <c r="BY75" i="2"/>
  <c r="CG75" i="2"/>
  <c r="CO75" i="2"/>
  <c r="CW75" i="2"/>
  <c r="DE75" i="2"/>
  <c r="DM75" i="2"/>
  <c r="DU75" i="2"/>
  <c r="EC75" i="2"/>
  <c r="AO76" i="2"/>
  <c r="AW76" i="2"/>
  <c r="BE76" i="2"/>
  <c r="BM76" i="2"/>
  <c r="BU76" i="2"/>
  <c r="CC76" i="2"/>
  <c r="CK76" i="2"/>
  <c r="CS76" i="2"/>
  <c r="DA76" i="2"/>
  <c r="DI76" i="2"/>
  <c r="DQ76" i="2"/>
  <c r="DY76" i="2"/>
  <c r="EG76" i="2"/>
  <c r="AS77" i="2"/>
  <c r="BA77" i="2"/>
  <c r="BI77" i="2"/>
  <c r="BQ77" i="2"/>
  <c r="BY77" i="2"/>
  <c r="CG77" i="2"/>
  <c r="CO77" i="2"/>
  <c r="CW77" i="2"/>
  <c r="DE77" i="2"/>
  <c r="DM77" i="2"/>
  <c r="DU77" i="2"/>
  <c r="EC77" i="2"/>
  <c r="AN73" i="2"/>
  <c r="AA72" i="2"/>
  <c r="AB72" i="2" s="1"/>
  <c r="AC72" i="2" s="1"/>
  <c r="AA69" i="2"/>
  <c r="AB69" i="2" s="1"/>
  <c r="AC69" i="2" s="1"/>
  <c r="BO66" i="2"/>
  <c r="AP68" i="2"/>
  <c r="AU69" i="2"/>
  <c r="DJ69" i="2"/>
  <c r="AX70" i="2"/>
  <c r="CI70" i="2"/>
  <c r="DS70" i="2"/>
  <c r="BH71" i="2"/>
  <c r="CS71" i="2"/>
  <c r="EC71" i="2"/>
  <c r="BC72" i="2"/>
  <c r="BP72" i="2"/>
  <c r="CB72" i="2"/>
  <c r="CN72" i="2"/>
  <c r="CY72" i="2"/>
  <c r="DI72" i="2"/>
  <c r="DT72" i="2"/>
  <c r="EE72" i="2"/>
  <c r="AS73" i="2"/>
  <c r="BD73" i="2"/>
  <c r="BO73" i="2"/>
  <c r="BY73" i="2"/>
  <c r="CJ73" i="2"/>
  <c r="CU73" i="2"/>
  <c r="DE73" i="2"/>
  <c r="DP73" i="2"/>
  <c r="EA73" i="2"/>
  <c r="AO74" i="2"/>
  <c r="AZ74" i="2"/>
  <c r="BK74" i="2"/>
  <c r="BU74" i="2"/>
  <c r="DJ74" i="2"/>
  <c r="DR74" i="2"/>
  <c r="DZ74" i="2"/>
  <c r="EH74" i="2"/>
  <c r="AT75" i="2"/>
  <c r="BB75" i="2"/>
  <c r="BR75" i="2"/>
  <c r="CX75" i="2"/>
  <c r="DV75" i="2"/>
  <c r="BF76" i="2"/>
  <c r="CD76" i="2"/>
  <c r="DR76" i="2"/>
  <c r="BR77" i="2"/>
  <c r="DV77" i="2"/>
  <c r="AA89" i="2"/>
  <c r="AB89" i="2" s="1"/>
  <c r="AC89" i="2" s="1"/>
  <c r="AS39" i="2"/>
  <c r="BA39" i="2"/>
  <c r="BI39" i="2"/>
  <c r="BQ39" i="2"/>
  <c r="BY39" i="2"/>
  <c r="CG39" i="2"/>
  <c r="CO39" i="2"/>
  <c r="CW39" i="2"/>
  <c r="DE39" i="2"/>
  <c r="DM39" i="2"/>
  <c r="DU39" i="2"/>
  <c r="EC39" i="2"/>
  <c r="AO40" i="2"/>
  <c r="AW40" i="2"/>
  <c r="BE40" i="2"/>
  <c r="BM40" i="2"/>
  <c r="BU40" i="2"/>
  <c r="CC40" i="2"/>
  <c r="CK40" i="2"/>
  <c r="CS40" i="2"/>
  <c r="DA40" i="2"/>
  <c r="DI40" i="2"/>
  <c r="DQ40" i="2"/>
  <c r="DY40" i="2"/>
  <c r="EG40" i="2"/>
  <c r="AS41" i="2"/>
  <c r="BA41" i="2"/>
  <c r="BI41" i="2"/>
  <c r="BQ41" i="2"/>
  <c r="BY41" i="2"/>
  <c r="CG41" i="2"/>
  <c r="CO41" i="2"/>
  <c r="CW41" i="2"/>
  <c r="DE41" i="2"/>
  <c r="DM41" i="2"/>
  <c r="DU41" i="2"/>
  <c r="EC41" i="2"/>
  <c r="AO42" i="2"/>
  <c r="AW42" i="2"/>
  <c r="BE42" i="2"/>
  <c r="BM42" i="2"/>
  <c r="BU42" i="2"/>
  <c r="CC42" i="2"/>
  <c r="CK42" i="2"/>
  <c r="CS42" i="2"/>
  <c r="DA42" i="2"/>
  <c r="DI42" i="2"/>
  <c r="DQ42" i="2"/>
  <c r="DY42" i="2"/>
  <c r="EG42" i="2"/>
  <c r="AS43" i="2"/>
  <c r="BA43" i="2"/>
  <c r="BI43" i="2"/>
  <c r="BQ43" i="2"/>
  <c r="BY43" i="2"/>
  <c r="CG43" i="2"/>
  <c r="CO43" i="2"/>
  <c r="CW43" i="2"/>
  <c r="DE43" i="2"/>
  <c r="DM43" i="2"/>
  <c r="DU43" i="2"/>
  <c r="EC43" i="2"/>
  <c r="AO44" i="2"/>
  <c r="AW44" i="2"/>
  <c r="BE44" i="2"/>
  <c r="BM44" i="2"/>
  <c r="BU44" i="2"/>
  <c r="CC44" i="2"/>
  <c r="CK44" i="2"/>
  <c r="CS44" i="2"/>
  <c r="DA44" i="2"/>
  <c r="DI44" i="2"/>
  <c r="DQ44" i="2"/>
  <c r="DY44" i="2"/>
  <c r="AT39" i="2"/>
  <c r="BB39" i="2"/>
  <c r="BJ39" i="2"/>
  <c r="BR39" i="2"/>
  <c r="BZ39" i="2"/>
  <c r="CH39" i="2"/>
  <c r="CP39" i="2"/>
  <c r="CX39" i="2"/>
  <c r="DF39" i="2"/>
  <c r="DN39" i="2"/>
  <c r="DV39" i="2"/>
  <c r="ED39" i="2"/>
  <c r="AP40" i="2"/>
  <c r="AX40" i="2"/>
  <c r="BF40" i="2"/>
  <c r="BN40" i="2"/>
  <c r="BV40" i="2"/>
  <c r="CD40" i="2"/>
  <c r="CL40" i="2"/>
  <c r="CT40" i="2"/>
  <c r="DB40" i="2"/>
  <c r="DJ40" i="2"/>
  <c r="DR40" i="2"/>
  <c r="DZ40" i="2"/>
  <c r="EH40" i="2"/>
  <c r="AT41" i="2"/>
  <c r="BB41" i="2"/>
  <c r="BJ41" i="2"/>
  <c r="BR41" i="2"/>
  <c r="BZ41" i="2"/>
  <c r="CH41" i="2"/>
  <c r="CP41" i="2"/>
  <c r="CX41" i="2"/>
  <c r="DF41" i="2"/>
  <c r="DN41" i="2"/>
  <c r="DV41" i="2"/>
  <c r="ED41" i="2"/>
  <c r="AP42" i="2"/>
  <c r="AX42" i="2"/>
  <c r="BF42" i="2"/>
  <c r="BN42" i="2"/>
  <c r="BV42" i="2"/>
  <c r="CD42" i="2"/>
  <c r="CL42" i="2"/>
  <c r="CT42" i="2"/>
  <c r="DB42" i="2"/>
  <c r="DJ42" i="2"/>
  <c r="DR42" i="2"/>
  <c r="DZ42" i="2"/>
  <c r="EH42" i="2"/>
  <c r="AT43" i="2"/>
  <c r="BB43" i="2"/>
  <c r="BJ43" i="2"/>
  <c r="BR43" i="2"/>
  <c r="BZ43" i="2"/>
  <c r="CH43" i="2"/>
  <c r="CP43" i="2"/>
  <c r="CX43" i="2"/>
  <c r="DF43" i="2"/>
  <c r="DN43" i="2"/>
  <c r="DV43" i="2"/>
  <c r="ED43" i="2"/>
  <c r="AP44" i="2"/>
  <c r="AX44" i="2"/>
  <c r="BF44" i="2"/>
  <c r="BN44" i="2"/>
  <c r="BV44" i="2"/>
  <c r="CD44" i="2"/>
  <c r="CL44" i="2"/>
  <c r="CT44" i="2"/>
  <c r="DB44" i="2"/>
  <c r="AU39" i="2"/>
  <c r="BC39" i="2"/>
  <c r="BK39" i="2"/>
  <c r="BS39" i="2"/>
  <c r="CA39" i="2"/>
  <c r="CI39" i="2"/>
  <c r="CQ39" i="2"/>
  <c r="CY39" i="2"/>
  <c r="DG39" i="2"/>
  <c r="DO39" i="2"/>
  <c r="DW39" i="2"/>
  <c r="EE39" i="2"/>
  <c r="AQ40" i="2"/>
  <c r="AY40" i="2"/>
  <c r="BG40" i="2"/>
  <c r="BO40" i="2"/>
  <c r="BW40" i="2"/>
  <c r="CE40" i="2"/>
  <c r="CM40" i="2"/>
  <c r="CU40" i="2"/>
  <c r="DC40" i="2"/>
  <c r="DK40" i="2"/>
  <c r="DS40" i="2"/>
  <c r="EA40" i="2"/>
  <c r="EI40" i="2"/>
  <c r="AU41" i="2"/>
  <c r="BC41" i="2"/>
  <c r="BK41" i="2"/>
  <c r="BS41" i="2"/>
  <c r="CA41" i="2"/>
  <c r="CI41" i="2"/>
  <c r="CQ41" i="2"/>
  <c r="CY41" i="2"/>
  <c r="DG41" i="2"/>
  <c r="DO41" i="2"/>
  <c r="DW41" i="2"/>
  <c r="EE41" i="2"/>
  <c r="AQ42" i="2"/>
  <c r="AY42" i="2"/>
  <c r="BG42" i="2"/>
  <c r="BO42" i="2"/>
  <c r="BW42" i="2"/>
  <c r="CE42" i="2"/>
  <c r="CM42" i="2"/>
  <c r="CU42" i="2"/>
  <c r="DC42" i="2"/>
  <c r="DK42" i="2"/>
  <c r="DS42" i="2"/>
  <c r="EA42" i="2"/>
  <c r="EI42" i="2"/>
  <c r="AU43" i="2"/>
  <c r="BC43" i="2"/>
  <c r="BK43" i="2"/>
  <c r="BS43" i="2"/>
  <c r="CA43" i="2"/>
  <c r="CI43" i="2"/>
  <c r="CQ43" i="2"/>
  <c r="CY43" i="2"/>
  <c r="DG43" i="2"/>
  <c r="DO43" i="2"/>
  <c r="DW43" i="2"/>
  <c r="EE43" i="2"/>
  <c r="AQ44" i="2"/>
  <c r="AY44" i="2"/>
  <c r="BG44" i="2"/>
  <c r="BO44" i="2"/>
  <c r="BW44" i="2"/>
  <c r="CE44" i="2"/>
  <c r="CM44" i="2"/>
  <c r="CU44" i="2"/>
  <c r="DC44" i="2"/>
  <c r="DK44" i="2"/>
  <c r="DS44" i="2"/>
  <c r="EA44" i="2"/>
  <c r="AV39" i="2"/>
  <c r="BD39" i="2"/>
  <c r="BL39" i="2"/>
  <c r="BT39" i="2"/>
  <c r="CB39" i="2"/>
  <c r="CJ39" i="2"/>
  <c r="CR39" i="2"/>
  <c r="CZ39" i="2"/>
  <c r="DH39" i="2"/>
  <c r="DP39" i="2"/>
  <c r="DX39" i="2"/>
  <c r="EF39" i="2"/>
  <c r="AR40" i="2"/>
  <c r="AZ40" i="2"/>
  <c r="BH40" i="2"/>
  <c r="BP40" i="2"/>
  <c r="BX40" i="2"/>
  <c r="CF40" i="2"/>
  <c r="CN40" i="2"/>
  <c r="CV40" i="2"/>
  <c r="DD40" i="2"/>
  <c r="DL40" i="2"/>
  <c r="DT40" i="2"/>
  <c r="EB40" i="2"/>
  <c r="EJ40" i="2"/>
  <c r="AV41" i="2"/>
  <c r="BD41" i="2"/>
  <c r="BL41" i="2"/>
  <c r="BT41" i="2"/>
  <c r="CB41" i="2"/>
  <c r="CJ41" i="2"/>
  <c r="CR41" i="2"/>
  <c r="CZ41" i="2"/>
  <c r="DH41" i="2"/>
  <c r="DP41" i="2"/>
  <c r="DX41" i="2"/>
  <c r="EF41" i="2"/>
  <c r="AR42" i="2"/>
  <c r="AZ42" i="2"/>
  <c r="BH42" i="2"/>
  <c r="BP42" i="2"/>
  <c r="BX42" i="2"/>
  <c r="CF42" i="2"/>
  <c r="CN42" i="2"/>
  <c r="CV42" i="2"/>
  <c r="DD42" i="2"/>
  <c r="DL42" i="2"/>
  <c r="DT42" i="2"/>
  <c r="EB42" i="2"/>
  <c r="EJ42" i="2"/>
  <c r="AV43" i="2"/>
  <c r="BD43" i="2"/>
  <c r="BL43" i="2"/>
  <c r="BT43" i="2"/>
  <c r="CB43" i="2"/>
  <c r="CJ43" i="2"/>
  <c r="CR43" i="2"/>
  <c r="CZ43" i="2"/>
  <c r="DH43" i="2"/>
  <c r="DP43" i="2"/>
  <c r="DX43" i="2"/>
  <c r="EF43" i="2"/>
  <c r="AR44" i="2"/>
  <c r="AZ44" i="2"/>
  <c r="BH44" i="2"/>
  <c r="BP44" i="2"/>
  <c r="BX44" i="2"/>
  <c r="CF44" i="2"/>
  <c r="CN44" i="2"/>
  <c r="CV44" i="2"/>
  <c r="DD44" i="2"/>
  <c r="DL44" i="2"/>
  <c r="DT44" i="2"/>
  <c r="EB44" i="2"/>
  <c r="EJ44" i="2"/>
  <c r="AV45" i="2"/>
  <c r="BD45" i="2"/>
  <c r="BL45" i="2"/>
  <c r="BT45" i="2"/>
  <c r="CB45" i="2"/>
  <c r="CJ45" i="2"/>
  <c r="CR45" i="2"/>
  <c r="CZ45" i="2"/>
  <c r="DH45" i="2"/>
  <c r="DP45" i="2"/>
  <c r="AO39" i="2"/>
  <c r="AW39" i="2"/>
  <c r="BE39" i="2"/>
  <c r="BM39" i="2"/>
  <c r="BU39" i="2"/>
  <c r="CC39" i="2"/>
  <c r="CK39" i="2"/>
  <c r="CS39" i="2"/>
  <c r="DA39" i="2"/>
  <c r="DI39" i="2"/>
  <c r="DQ39" i="2"/>
  <c r="DY39" i="2"/>
  <c r="EG39" i="2"/>
  <c r="AS40" i="2"/>
  <c r="BA40" i="2"/>
  <c r="BI40" i="2"/>
  <c r="BQ40" i="2"/>
  <c r="BY40" i="2"/>
  <c r="CG40" i="2"/>
  <c r="CO40" i="2"/>
  <c r="CW40" i="2"/>
  <c r="DE40" i="2"/>
  <c r="DM40" i="2"/>
  <c r="DU40" i="2"/>
  <c r="EC40" i="2"/>
  <c r="AO41" i="2"/>
  <c r="AW41" i="2"/>
  <c r="BE41" i="2"/>
  <c r="BM41" i="2"/>
  <c r="BU41" i="2"/>
  <c r="CC41" i="2"/>
  <c r="CK41" i="2"/>
  <c r="CS41" i="2"/>
  <c r="DA41" i="2"/>
  <c r="DI41" i="2"/>
  <c r="DQ41" i="2"/>
  <c r="DY41" i="2"/>
  <c r="EG41" i="2"/>
  <c r="AS42" i="2"/>
  <c r="BA42" i="2"/>
  <c r="BI42" i="2"/>
  <c r="BQ42" i="2"/>
  <c r="BY42" i="2"/>
  <c r="CG42" i="2"/>
  <c r="CO42" i="2"/>
  <c r="CW42" i="2"/>
  <c r="DE42" i="2"/>
  <c r="DM42" i="2"/>
  <c r="DU42" i="2"/>
  <c r="EC42" i="2"/>
  <c r="AO43" i="2"/>
  <c r="AW43" i="2"/>
  <c r="BE43" i="2"/>
  <c r="BM43" i="2"/>
  <c r="BU43" i="2"/>
  <c r="CC43" i="2"/>
  <c r="CK43" i="2"/>
  <c r="CS43" i="2"/>
  <c r="DA43" i="2"/>
  <c r="DI43" i="2"/>
  <c r="DQ43" i="2"/>
  <c r="DY43" i="2"/>
  <c r="EG43" i="2"/>
  <c r="AS44" i="2"/>
  <c r="BA44" i="2"/>
  <c r="BI44" i="2"/>
  <c r="BQ44" i="2"/>
  <c r="BY44" i="2"/>
  <c r="CG44" i="2"/>
  <c r="CO44" i="2"/>
  <c r="CW44" i="2"/>
  <c r="DE44" i="2"/>
  <c r="DM44" i="2"/>
  <c r="DU44" i="2"/>
  <c r="EC44" i="2"/>
  <c r="AO45" i="2"/>
  <c r="AW45" i="2"/>
  <c r="BE45" i="2"/>
  <c r="BM45" i="2"/>
  <c r="BU45" i="2"/>
  <c r="CC45" i="2"/>
  <c r="CK45" i="2"/>
  <c r="CS45" i="2"/>
  <c r="DA45" i="2"/>
  <c r="DI45" i="2"/>
  <c r="AP39" i="2"/>
  <c r="AX39" i="2"/>
  <c r="BF39" i="2"/>
  <c r="BN39" i="2"/>
  <c r="BV39" i="2"/>
  <c r="CD39" i="2"/>
  <c r="CL39" i="2"/>
  <c r="CT39" i="2"/>
  <c r="DB39" i="2"/>
  <c r="DJ39" i="2"/>
  <c r="DR39" i="2"/>
  <c r="DZ39" i="2"/>
  <c r="EH39" i="2"/>
  <c r="AT40" i="2"/>
  <c r="BB40" i="2"/>
  <c r="BJ40" i="2"/>
  <c r="BR40" i="2"/>
  <c r="BZ40" i="2"/>
  <c r="CH40" i="2"/>
  <c r="CP40" i="2"/>
  <c r="CX40" i="2"/>
  <c r="DF40" i="2"/>
  <c r="DN40" i="2"/>
  <c r="DV40" i="2"/>
  <c r="ED40" i="2"/>
  <c r="AP41" i="2"/>
  <c r="AX41" i="2"/>
  <c r="BF41" i="2"/>
  <c r="BN41" i="2"/>
  <c r="BV41" i="2"/>
  <c r="CD41" i="2"/>
  <c r="CL41" i="2"/>
  <c r="CT41" i="2"/>
  <c r="DB41" i="2"/>
  <c r="DJ41" i="2"/>
  <c r="DR41" i="2"/>
  <c r="DZ41" i="2"/>
  <c r="EH41" i="2"/>
  <c r="AT42" i="2"/>
  <c r="BB42" i="2"/>
  <c r="BJ42" i="2"/>
  <c r="BR42" i="2"/>
  <c r="BZ42" i="2"/>
  <c r="CH42" i="2"/>
  <c r="CP42" i="2"/>
  <c r="CX42" i="2"/>
  <c r="DF42" i="2"/>
  <c r="DN42" i="2"/>
  <c r="DV42" i="2"/>
  <c r="ED42" i="2"/>
  <c r="AP43" i="2"/>
  <c r="AX43" i="2"/>
  <c r="BF43" i="2"/>
  <c r="BN43" i="2"/>
  <c r="BV43" i="2"/>
  <c r="CD43" i="2"/>
  <c r="CL43" i="2"/>
  <c r="CT43" i="2"/>
  <c r="DB43" i="2"/>
  <c r="DJ43" i="2"/>
  <c r="DR43" i="2"/>
  <c r="DZ43" i="2"/>
  <c r="EH43" i="2"/>
  <c r="AT44" i="2"/>
  <c r="BB44" i="2"/>
  <c r="BJ44" i="2"/>
  <c r="BR44" i="2"/>
  <c r="BZ44" i="2"/>
  <c r="CH44" i="2"/>
  <c r="BG39" i="2"/>
  <c r="CM39" i="2"/>
  <c r="DS39" i="2"/>
  <c r="BC40" i="2"/>
  <c r="CI40" i="2"/>
  <c r="DO40" i="2"/>
  <c r="AY41" i="2"/>
  <c r="CE41" i="2"/>
  <c r="DK41" i="2"/>
  <c r="AU42" i="2"/>
  <c r="CA42" i="2"/>
  <c r="DG42" i="2"/>
  <c r="AQ43" i="2"/>
  <c r="BW43" i="2"/>
  <c r="DC43" i="2"/>
  <c r="EI43" i="2"/>
  <c r="BS44" i="2"/>
  <c r="CR44" i="2"/>
  <c r="DN44" i="2"/>
  <c r="ED44" i="2"/>
  <c r="AR45" i="2"/>
  <c r="BB45" i="2"/>
  <c r="BN45" i="2"/>
  <c r="BX45" i="2"/>
  <c r="CH45" i="2"/>
  <c r="CT45" i="2"/>
  <c r="DD45" i="2"/>
  <c r="DN45" i="2"/>
  <c r="DW45" i="2"/>
  <c r="EE45" i="2"/>
  <c r="AQ46" i="2"/>
  <c r="AY46" i="2"/>
  <c r="BG46" i="2"/>
  <c r="BO46" i="2"/>
  <c r="BW46" i="2"/>
  <c r="CE46" i="2"/>
  <c r="CM46" i="2"/>
  <c r="CU46" i="2"/>
  <c r="DC46" i="2"/>
  <c r="DK46" i="2"/>
  <c r="DS46" i="2"/>
  <c r="EA46" i="2"/>
  <c r="EI46" i="2"/>
  <c r="AU47" i="2"/>
  <c r="BC47" i="2"/>
  <c r="BK47" i="2"/>
  <c r="BS47" i="2"/>
  <c r="CA47" i="2"/>
  <c r="CI47" i="2"/>
  <c r="CQ47" i="2"/>
  <c r="CY47" i="2"/>
  <c r="DG47" i="2"/>
  <c r="DO47" i="2"/>
  <c r="DW47" i="2"/>
  <c r="EE47" i="2"/>
  <c r="AQ48" i="2"/>
  <c r="AY48" i="2"/>
  <c r="BG48" i="2"/>
  <c r="BO48" i="2"/>
  <c r="BW48" i="2"/>
  <c r="CE48" i="2"/>
  <c r="CM48" i="2"/>
  <c r="CU48" i="2"/>
  <c r="DC48" i="2"/>
  <c r="DK48" i="2"/>
  <c r="DS48" i="2"/>
  <c r="EA48" i="2"/>
  <c r="EI48" i="2"/>
  <c r="AU49" i="2"/>
  <c r="BC49" i="2"/>
  <c r="BK49" i="2"/>
  <c r="BS49" i="2"/>
  <c r="CA49" i="2"/>
  <c r="CI49" i="2"/>
  <c r="CQ49" i="2"/>
  <c r="CY49" i="2"/>
  <c r="DG49" i="2"/>
  <c r="DO49" i="2"/>
  <c r="DW49" i="2"/>
  <c r="EE49" i="2"/>
  <c r="AQ50" i="2"/>
  <c r="AY50" i="2"/>
  <c r="BG50" i="2"/>
  <c r="BO50" i="2"/>
  <c r="BW50" i="2"/>
  <c r="BH39" i="2"/>
  <c r="CN39" i="2"/>
  <c r="DT39" i="2"/>
  <c r="BD40" i="2"/>
  <c r="CJ40" i="2"/>
  <c r="DP40" i="2"/>
  <c r="AZ41" i="2"/>
  <c r="CF41" i="2"/>
  <c r="DL41" i="2"/>
  <c r="AV42" i="2"/>
  <c r="CB42" i="2"/>
  <c r="DH42" i="2"/>
  <c r="AR43" i="2"/>
  <c r="BX43" i="2"/>
  <c r="DD43" i="2"/>
  <c r="EJ43" i="2"/>
  <c r="BT44" i="2"/>
  <c r="CX44" i="2"/>
  <c r="DO44" i="2"/>
  <c r="EE44" i="2"/>
  <c r="AS45" i="2"/>
  <c r="BC45" i="2"/>
  <c r="BO45" i="2"/>
  <c r="BY45" i="2"/>
  <c r="CI45" i="2"/>
  <c r="CU45" i="2"/>
  <c r="DE45" i="2"/>
  <c r="DO45" i="2"/>
  <c r="DX45" i="2"/>
  <c r="EF45" i="2"/>
  <c r="AR46" i="2"/>
  <c r="AZ46" i="2"/>
  <c r="BH46" i="2"/>
  <c r="BP46" i="2"/>
  <c r="BX46" i="2"/>
  <c r="CF46" i="2"/>
  <c r="CN46" i="2"/>
  <c r="CV46" i="2"/>
  <c r="DD46" i="2"/>
  <c r="DL46" i="2"/>
  <c r="DT46" i="2"/>
  <c r="EB46" i="2"/>
  <c r="EJ46" i="2"/>
  <c r="AV47" i="2"/>
  <c r="BD47" i="2"/>
  <c r="BL47" i="2"/>
  <c r="BT47" i="2"/>
  <c r="CB47" i="2"/>
  <c r="CJ47" i="2"/>
  <c r="CR47" i="2"/>
  <c r="CZ47" i="2"/>
  <c r="DH47" i="2"/>
  <c r="DP47" i="2"/>
  <c r="DX47" i="2"/>
  <c r="EF47" i="2"/>
  <c r="AR48" i="2"/>
  <c r="AZ48" i="2"/>
  <c r="BH48" i="2"/>
  <c r="BP48" i="2"/>
  <c r="BX48" i="2"/>
  <c r="CF48" i="2"/>
  <c r="CN48" i="2"/>
  <c r="CV48" i="2"/>
  <c r="DD48" i="2"/>
  <c r="DL48" i="2"/>
  <c r="DT48" i="2"/>
  <c r="EB48" i="2"/>
  <c r="EJ48" i="2"/>
  <c r="AV49" i="2"/>
  <c r="BD49" i="2"/>
  <c r="BL49" i="2"/>
  <c r="BT49" i="2"/>
  <c r="CB49" i="2"/>
  <c r="CJ49" i="2"/>
  <c r="CR49" i="2"/>
  <c r="CZ49" i="2"/>
  <c r="DH49" i="2"/>
  <c r="DP49" i="2"/>
  <c r="DX49" i="2"/>
  <c r="EF49" i="2"/>
  <c r="AR50" i="2"/>
  <c r="AZ50" i="2"/>
  <c r="BH50" i="2"/>
  <c r="BP50" i="2"/>
  <c r="BO39" i="2"/>
  <c r="CU39" i="2"/>
  <c r="EA39" i="2"/>
  <c r="BK40" i="2"/>
  <c r="CQ40" i="2"/>
  <c r="DW40" i="2"/>
  <c r="BG41" i="2"/>
  <c r="CM41" i="2"/>
  <c r="DS41" i="2"/>
  <c r="BC42" i="2"/>
  <c r="CI42" i="2"/>
  <c r="DO42" i="2"/>
  <c r="AY43" i="2"/>
  <c r="CE43" i="2"/>
  <c r="DK43" i="2"/>
  <c r="AU44" i="2"/>
  <c r="CA44" i="2"/>
  <c r="CY44" i="2"/>
  <c r="DP44" i="2"/>
  <c r="EF44" i="2"/>
  <c r="AT45" i="2"/>
  <c r="BF45" i="2"/>
  <c r="BP45" i="2"/>
  <c r="BZ45" i="2"/>
  <c r="CL45" i="2"/>
  <c r="CV45" i="2"/>
  <c r="DF45" i="2"/>
  <c r="DQ45" i="2"/>
  <c r="DY45" i="2"/>
  <c r="EG45" i="2"/>
  <c r="AS46" i="2"/>
  <c r="BA46" i="2"/>
  <c r="BI46" i="2"/>
  <c r="BQ46" i="2"/>
  <c r="BY46" i="2"/>
  <c r="CG46" i="2"/>
  <c r="CO46" i="2"/>
  <c r="CW46" i="2"/>
  <c r="DE46" i="2"/>
  <c r="DM46" i="2"/>
  <c r="DU46" i="2"/>
  <c r="EC46" i="2"/>
  <c r="AO47" i="2"/>
  <c r="AW47" i="2"/>
  <c r="BE47" i="2"/>
  <c r="BM47" i="2"/>
  <c r="BU47" i="2"/>
  <c r="CC47" i="2"/>
  <c r="CK47" i="2"/>
  <c r="CS47" i="2"/>
  <c r="DA47" i="2"/>
  <c r="DI47" i="2"/>
  <c r="DQ47" i="2"/>
  <c r="DY47" i="2"/>
  <c r="EG47" i="2"/>
  <c r="AS48" i="2"/>
  <c r="BA48" i="2"/>
  <c r="BI48" i="2"/>
  <c r="BQ48" i="2"/>
  <c r="BY48" i="2"/>
  <c r="CG48" i="2"/>
  <c r="CO48" i="2"/>
  <c r="CW48" i="2"/>
  <c r="DE48" i="2"/>
  <c r="DM48" i="2"/>
  <c r="DU48" i="2"/>
  <c r="EC48" i="2"/>
  <c r="AO49" i="2"/>
  <c r="AW49" i="2"/>
  <c r="BE49" i="2"/>
  <c r="BM49" i="2"/>
  <c r="BU49" i="2"/>
  <c r="CC49" i="2"/>
  <c r="CK49" i="2"/>
  <c r="CS49" i="2"/>
  <c r="DA49" i="2"/>
  <c r="DI49" i="2"/>
  <c r="DQ49" i="2"/>
  <c r="DY49" i="2"/>
  <c r="EG49" i="2"/>
  <c r="AS50" i="2"/>
  <c r="BA50" i="2"/>
  <c r="BI50" i="2"/>
  <c r="BQ50" i="2"/>
  <c r="BY50" i="2"/>
  <c r="BP39" i="2"/>
  <c r="CV39" i="2"/>
  <c r="EB39" i="2"/>
  <c r="BL40" i="2"/>
  <c r="CR40" i="2"/>
  <c r="DX40" i="2"/>
  <c r="BH41" i="2"/>
  <c r="CN41" i="2"/>
  <c r="DT41" i="2"/>
  <c r="BD42" i="2"/>
  <c r="CJ42" i="2"/>
  <c r="DP42" i="2"/>
  <c r="AZ43" i="2"/>
  <c r="CF43" i="2"/>
  <c r="DL43" i="2"/>
  <c r="AV44" i="2"/>
  <c r="CB44" i="2"/>
  <c r="CZ44" i="2"/>
  <c r="DR44" i="2"/>
  <c r="EG44" i="2"/>
  <c r="AU45" i="2"/>
  <c r="BG45" i="2"/>
  <c r="BQ45" i="2"/>
  <c r="CA45" i="2"/>
  <c r="CM45" i="2"/>
  <c r="CW45" i="2"/>
  <c r="DG45" i="2"/>
  <c r="DR45" i="2"/>
  <c r="DZ45" i="2"/>
  <c r="EH45" i="2"/>
  <c r="AT46" i="2"/>
  <c r="BB46" i="2"/>
  <c r="BJ46" i="2"/>
  <c r="BR46" i="2"/>
  <c r="BZ46" i="2"/>
  <c r="CH46" i="2"/>
  <c r="CP46" i="2"/>
  <c r="CX46" i="2"/>
  <c r="DF46" i="2"/>
  <c r="DN46" i="2"/>
  <c r="DV46" i="2"/>
  <c r="ED46" i="2"/>
  <c r="AP47" i="2"/>
  <c r="AX47" i="2"/>
  <c r="BF47" i="2"/>
  <c r="BN47" i="2"/>
  <c r="AQ39" i="2"/>
  <c r="BW39" i="2"/>
  <c r="DC39" i="2"/>
  <c r="EI39" i="2"/>
  <c r="BS40" i="2"/>
  <c r="CY40" i="2"/>
  <c r="EE40" i="2"/>
  <c r="BO41" i="2"/>
  <c r="CU41" i="2"/>
  <c r="EA41" i="2"/>
  <c r="BK42" i="2"/>
  <c r="CQ42" i="2"/>
  <c r="DW42" i="2"/>
  <c r="BG43" i="2"/>
  <c r="CM43" i="2"/>
  <c r="DS43" i="2"/>
  <c r="BC44" i="2"/>
  <c r="CI44" i="2"/>
  <c r="DF44" i="2"/>
  <c r="DV44" i="2"/>
  <c r="EH44" i="2"/>
  <c r="AX45" i="2"/>
  <c r="BH45" i="2"/>
  <c r="BR45" i="2"/>
  <c r="CD45" i="2"/>
  <c r="CN45" i="2"/>
  <c r="CX45" i="2"/>
  <c r="DJ45" i="2"/>
  <c r="DS45" i="2"/>
  <c r="EA45" i="2"/>
  <c r="EI45" i="2"/>
  <c r="AU46" i="2"/>
  <c r="BC46" i="2"/>
  <c r="BK46" i="2"/>
  <c r="BS46" i="2"/>
  <c r="CA46" i="2"/>
  <c r="CI46" i="2"/>
  <c r="CQ46" i="2"/>
  <c r="CY46" i="2"/>
  <c r="DG46" i="2"/>
  <c r="DO46" i="2"/>
  <c r="DW46" i="2"/>
  <c r="EE46" i="2"/>
  <c r="AQ47" i="2"/>
  <c r="AY47" i="2"/>
  <c r="BG47" i="2"/>
  <c r="BO47" i="2"/>
  <c r="BW47" i="2"/>
  <c r="CE47" i="2"/>
  <c r="CM47" i="2"/>
  <c r="CU47" i="2"/>
  <c r="DC47" i="2"/>
  <c r="DK47" i="2"/>
  <c r="DS47" i="2"/>
  <c r="EA47" i="2"/>
  <c r="EI47" i="2"/>
  <c r="AU48" i="2"/>
  <c r="BC48" i="2"/>
  <c r="BK48" i="2"/>
  <c r="BS48" i="2"/>
  <c r="CA48" i="2"/>
  <c r="CI48" i="2"/>
  <c r="CQ48" i="2"/>
  <c r="CY48" i="2"/>
  <c r="DG48" i="2"/>
  <c r="DO48" i="2"/>
  <c r="DW48" i="2"/>
  <c r="EE48" i="2"/>
  <c r="AQ49" i="2"/>
  <c r="AY49" i="2"/>
  <c r="BG49" i="2"/>
  <c r="BO49" i="2"/>
  <c r="BW49" i="2"/>
  <c r="AR39" i="2"/>
  <c r="BX39" i="2"/>
  <c r="DD39" i="2"/>
  <c r="EJ39" i="2"/>
  <c r="BT40" i="2"/>
  <c r="CZ40" i="2"/>
  <c r="EF40" i="2"/>
  <c r="BP41" i="2"/>
  <c r="CV41" i="2"/>
  <c r="EB41" i="2"/>
  <c r="BL42" i="2"/>
  <c r="CR42" i="2"/>
  <c r="DX42" i="2"/>
  <c r="BH43" i="2"/>
  <c r="CN43" i="2"/>
  <c r="DT43" i="2"/>
  <c r="BD44" i="2"/>
  <c r="CJ44" i="2"/>
  <c r="DG44" i="2"/>
  <c r="DW44" i="2"/>
  <c r="EI44" i="2"/>
  <c r="AY45" i="2"/>
  <c r="BI45" i="2"/>
  <c r="BS45" i="2"/>
  <c r="CE45" i="2"/>
  <c r="CO45" i="2"/>
  <c r="CY45" i="2"/>
  <c r="DK45" i="2"/>
  <c r="DT45" i="2"/>
  <c r="EB45" i="2"/>
  <c r="EJ45" i="2"/>
  <c r="AV46" i="2"/>
  <c r="BD46" i="2"/>
  <c r="BL46" i="2"/>
  <c r="BT46" i="2"/>
  <c r="CB46" i="2"/>
  <c r="CJ46" i="2"/>
  <c r="CR46" i="2"/>
  <c r="CZ46" i="2"/>
  <c r="DH46" i="2"/>
  <c r="DP46" i="2"/>
  <c r="DX46" i="2"/>
  <c r="EF46" i="2"/>
  <c r="AR47" i="2"/>
  <c r="AZ47" i="2"/>
  <c r="BH47" i="2"/>
  <c r="BP47" i="2"/>
  <c r="BX47" i="2"/>
  <c r="CF47" i="2"/>
  <c r="CN47" i="2"/>
  <c r="CV47" i="2"/>
  <c r="DD47" i="2"/>
  <c r="DL47" i="2"/>
  <c r="DT47" i="2"/>
  <c r="EB47" i="2"/>
  <c r="EJ47" i="2"/>
  <c r="AV48" i="2"/>
  <c r="BD48" i="2"/>
  <c r="BL48" i="2"/>
  <c r="BT48" i="2"/>
  <c r="CB48" i="2"/>
  <c r="CJ48" i="2"/>
  <c r="CR48" i="2"/>
  <c r="CZ48" i="2"/>
  <c r="DH48" i="2"/>
  <c r="DP48" i="2"/>
  <c r="DK39" i="2"/>
  <c r="AQ41" i="2"/>
  <c r="BS42" i="2"/>
  <c r="CU43" i="2"/>
  <c r="DH44" i="2"/>
  <c r="BJ45" i="2"/>
  <c r="DB45" i="2"/>
  <c r="AO46" i="2"/>
  <c r="BU46" i="2"/>
  <c r="DA46" i="2"/>
  <c r="EG46" i="2"/>
  <c r="BQ47" i="2"/>
  <c r="CL47" i="2"/>
  <c r="DF47" i="2"/>
  <c r="EC47" i="2"/>
  <c r="BB48" i="2"/>
  <c r="BV48" i="2"/>
  <c r="CS48" i="2"/>
  <c r="DN48" i="2"/>
  <c r="EF48" i="2"/>
  <c r="AZ49" i="2"/>
  <c r="BP49" i="2"/>
  <c r="CE49" i="2"/>
  <c r="CP49" i="2"/>
  <c r="DD49" i="2"/>
  <c r="DR49" i="2"/>
  <c r="EC49" i="2"/>
  <c r="AU50" i="2"/>
  <c r="BF50" i="2"/>
  <c r="BT50" i="2"/>
  <c r="CD50" i="2"/>
  <c r="CL50" i="2"/>
  <c r="CT50" i="2"/>
  <c r="DB50" i="2"/>
  <c r="DJ50" i="2"/>
  <c r="DR50" i="2"/>
  <c r="DZ50" i="2"/>
  <c r="EH50" i="2"/>
  <c r="AT51" i="2"/>
  <c r="BB51" i="2"/>
  <c r="BJ51" i="2"/>
  <c r="BR51" i="2"/>
  <c r="BZ51" i="2"/>
  <c r="CH51" i="2"/>
  <c r="CP51" i="2"/>
  <c r="CX51" i="2"/>
  <c r="DF51" i="2"/>
  <c r="DN51" i="2"/>
  <c r="DV51" i="2"/>
  <c r="ED51" i="2"/>
  <c r="AP52" i="2"/>
  <c r="AX52" i="2"/>
  <c r="BF52" i="2"/>
  <c r="BN52" i="2"/>
  <c r="BV52" i="2"/>
  <c r="CD52" i="2"/>
  <c r="CL52" i="2"/>
  <c r="CT52" i="2"/>
  <c r="DB52" i="2"/>
  <c r="DJ52" i="2"/>
  <c r="DR52" i="2"/>
  <c r="DZ52" i="2"/>
  <c r="EH52" i="2"/>
  <c r="AN45" i="2"/>
  <c r="AA47" i="2"/>
  <c r="AB47" i="2" s="1"/>
  <c r="AC47" i="2" s="1"/>
  <c r="AA43" i="2"/>
  <c r="AB43" i="2" s="1"/>
  <c r="AC43" i="2" s="1"/>
  <c r="AA39" i="2"/>
  <c r="AB39" i="2" s="1"/>
  <c r="AC39" i="2" s="1"/>
  <c r="AA15" i="2"/>
  <c r="AB15" i="2" s="1"/>
  <c r="AC15" i="2" s="1"/>
  <c r="AA23" i="2"/>
  <c r="AB23" i="2" s="1"/>
  <c r="AC23" i="2" s="1"/>
  <c r="AQ14" i="2"/>
  <c r="AZ14" i="2"/>
  <c r="BH14" i="2"/>
  <c r="BP14" i="2"/>
  <c r="BX14" i="2"/>
  <c r="CF14" i="2"/>
  <c r="DL39" i="2"/>
  <c r="AR41" i="2"/>
  <c r="BT42" i="2"/>
  <c r="CV43" i="2"/>
  <c r="DJ44" i="2"/>
  <c r="BK45" i="2"/>
  <c r="DC45" i="2"/>
  <c r="AP46" i="2"/>
  <c r="BV46" i="2"/>
  <c r="DB46" i="2"/>
  <c r="EH46" i="2"/>
  <c r="BR47" i="2"/>
  <c r="CO47" i="2"/>
  <c r="DJ47" i="2"/>
  <c r="ED47" i="2"/>
  <c r="BE48" i="2"/>
  <c r="BZ48" i="2"/>
  <c r="CT48" i="2"/>
  <c r="DQ48" i="2"/>
  <c r="EG48" i="2"/>
  <c r="BA49" i="2"/>
  <c r="BQ49" i="2"/>
  <c r="CF49" i="2"/>
  <c r="CT49" i="2"/>
  <c r="DE49" i="2"/>
  <c r="DS49" i="2"/>
  <c r="ED49" i="2"/>
  <c r="AV50" i="2"/>
  <c r="BJ50" i="2"/>
  <c r="BU50" i="2"/>
  <c r="CE50" i="2"/>
  <c r="CM50" i="2"/>
  <c r="CU50" i="2"/>
  <c r="DC50" i="2"/>
  <c r="DK50" i="2"/>
  <c r="DS50" i="2"/>
  <c r="EA50" i="2"/>
  <c r="EI50" i="2"/>
  <c r="AU51" i="2"/>
  <c r="BC51" i="2"/>
  <c r="BK51" i="2"/>
  <c r="BS51" i="2"/>
  <c r="CA51" i="2"/>
  <c r="CI51" i="2"/>
  <c r="CQ51" i="2"/>
  <c r="CY51" i="2"/>
  <c r="DG51" i="2"/>
  <c r="DO51" i="2"/>
  <c r="DW51" i="2"/>
  <c r="EE51" i="2"/>
  <c r="AQ52" i="2"/>
  <c r="AY52" i="2"/>
  <c r="BG52" i="2"/>
  <c r="BO52" i="2"/>
  <c r="BW52" i="2"/>
  <c r="CE52" i="2"/>
  <c r="CM52" i="2"/>
  <c r="CU52" i="2"/>
  <c r="DC52" i="2"/>
  <c r="DK52" i="2"/>
  <c r="DS52" i="2"/>
  <c r="EA52" i="2"/>
  <c r="EI52" i="2"/>
  <c r="AN46" i="2"/>
  <c r="AA14" i="2"/>
  <c r="AB14" i="2" s="1"/>
  <c r="AC14" i="2" s="1"/>
  <c r="AA24" i="2"/>
  <c r="AB24" i="2" s="1"/>
  <c r="AC24" i="2" s="1"/>
  <c r="AR14" i="2"/>
  <c r="BA14" i="2"/>
  <c r="BI14" i="2"/>
  <c r="BQ14" i="2"/>
  <c r="BY14" i="2"/>
  <c r="CG14" i="2"/>
  <c r="AU40" i="2"/>
  <c r="BW41" i="2"/>
  <c r="CY42" i="2"/>
  <c r="EA43" i="2"/>
  <c r="DX44" i="2"/>
  <c r="BV45" i="2"/>
  <c r="DL45" i="2"/>
  <c r="AW46" i="2"/>
  <c r="CC46" i="2"/>
  <c r="DI46" i="2"/>
  <c r="AS47" i="2"/>
  <c r="BV47" i="2"/>
  <c r="CP47" i="2"/>
  <c r="DM47" i="2"/>
  <c r="EH47" i="2"/>
  <c r="BF48" i="2"/>
  <c r="CC48" i="2"/>
  <c r="CX48" i="2"/>
  <c r="DR48" i="2"/>
  <c r="EH48" i="2"/>
  <c r="BB49" i="2"/>
  <c r="BR49" i="2"/>
  <c r="CG49" i="2"/>
  <c r="CU49" i="2"/>
  <c r="DF49" i="2"/>
  <c r="DT49" i="2"/>
  <c r="EH49" i="2"/>
  <c r="AW50" i="2"/>
  <c r="BK50" i="2"/>
  <c r="BV50" i="2"/>
  <c r="CF50" i="2"/>
  <c r="CN50" i="2"/>
  <c r="CV50" i="2"/>
  <c r="DD50" i="2"/>
  <c r="DL50" i="2"/>
  <c r="DT50" i="2"/>
  <c r="EB50" i="2"/>
  <c r="EJ50" i="2"/>
  <c r="AV51" i="2"/>
  <c r="BD51" i="2"/>
  <c r="BL51" i="2"/>
  <c r="BT51" i="2"/>
  <c r="CB51" i="2"/>
  <c r="CJ51" i="2"/>
  <c r="CR51" i="2"/>
  <c r="CZ51" i="2"/>
  <c r="DH51" i="2"/>
  <c r="DP51" i="2"/>
  <c r="DX51" i="2"/>
  <c r="EF51" i="2"/>
  <c r="AR52" i="2"/>
  <c r="AZ52" i="2"/>
  <c r="BH52" i="2"/>
  <c r="BP52" i="2"/>
  <c r="BX52" i="2"/>
  <c r="CF52" i="2"/>
  <c r="CN52" i="2"/>
  <c r="CV52" i="2"/>
  <c r="DD52" i="2"/>
  <c r="DL52" i="2"/>
  <c r="DT52" i="2"/>
  <c r="EB52" i="2"/>
  <c r="EJ52" i="2"/>
  <c r="AN47" i="2"/>
  <c r="AA50" i="2"/>
  <c r="AB50" i="2" s="1"/>
  <c r="AC50" i="2" s="1"/>
  <c r="AA46" i="2"/>
  <c r="AB46" i="2" s="1"/>
  <c r="AC46" i="2" s="1"/>
  <c r="AA42" i="2"/>
  <c r="AB42" i="2" s="1"/>
  <c r="AC42" i="2" s="1"/>
  <c r="AA17" i="2"/>
  <c r="AB17" i="2" s="1"/>
  <c r="AC17" i="2" s="1"/>
  <c r="AA25" i="2"/>
  <c r="AB25" i="2" s="1"/>
  <c r="AC25" i="2" s="1"/>
  <c r="AT14" i="2"/>
  <c r="BB14" i="2"/>
  <c r="BJ14" i="2"/>
  <c r="BR14" i="2"/>
  <c r="BZ14" i="2"/>
  <c r="CH14" i="2"/>
  <c r="AV40" i="2"/>
  <c r="BX41" i="2"/>
  <c r="CZ42" i="2"/>
  <c r="EB43" i="2"/>
  <c r="DZ44" i="2"/>
  <c r="BW45" i="2"/>
  <c r="DM45" i="2"/>
  <c r="AX46" i="2"/>
  <c r="CD46" i="2"/>
  <c r="DJ46" i="2"/>
  <c r="AT47" i="2"/>
  <c r="BY47" i="2"/>
  <c r="CT47" i="2"/>
  <c r="DN47" i="2"/>
  <c r="AO48" i="2"/>
  <c r="BJ48" i="2"/>
  <c r="CD48" i="2"/>
  <c r="DA48" i="2"/>
  <c r="DV48" i="2"/>
  <c r="AP49" i="2"/>
  <c r="BF49" i="2"/>
  <c r="BV49" i="2"/>
  <c r="CH49" i="2"/>
  <c r="CV49" i="2"/>
  <c r="DJ49" i="2"/>
  <c r="DU49" i="2"/>
  <c r="EI49" i="2"/>
  <c r="AX50" i="2"/>
  <c r="BL50" i="2"/>
  <c r="BX50" i="2"/>
  <c r="CG50" i="2"/>
  <c r="CO50" i="2"/>
  <c r="CW50" i="2"/>
  <c r="DE50" i="2"/>
  <c r="DM50" i="2"/>
  <c r="DU50" i="2"/>
  <c r="EC50" i="2"/>
  <c r="AO51" i="2"/>
  <c r="AW51" i="2"/>
  <c r="BE51" i="2"/>
  <c r="BM51" i="2"/>
  <c r="BU51" i="2"/>
  <c r="CC51" i="2"/>
  <c r="CK51" i="2"/>
  <c r="CS51" i="2"/>
  <c r="DA51" i="2"/>
  <c r="DI51" i="2"/>
  <c r="DQ51" i="2"/>
  <c r="DY51" i="2"/>
  <c r="EG51" i="2"/>
  <c r="AS52" i="2"/>
  <c r="BA52" i="2"/>
  <c r="BI52" i="2"/>
  <c r="BQ52" i="2"/>
  <c r="BY52" i="2"/>
  <c r="CG52" i="2"/>
  <c r="CO52" i="2"/>
  <c r="CW52" i="2"/>
  <c r="DE52" i="2"/>
  <c r="DM52" i="2"/>
  <c r="DU52" i="2"/>
  <c r="EC52" i="2"/>
  <c r="AN48" i="2"/>
  <c r="AA18" i="2"/>
  <c r="AB18" i="2" s="1"/>
  <c r="AC18" i="2" s="1"/>
  <c r="AA26" i="2"/>
  <c r="AB26" i="2" s="1"/>
  <c r="AC26" i="2" s="1"/>
  <c r="AU14" i="2"/>
  <c r="BC14" i="2"/>
  <c r="BK14" i="2"/>
  <c r="BS14" i="2"/>
  <c r="CA14" i="2"/>
  <c r="CI14" i="2"/>
  <c r="AY39" i="2"/>
  <c r="CA40" i="2"/>
  <c r="DC41" i="2"/>
  <c r="EE42" i="2"/>
  <c r="BK44" i="2"/>
  <c r="AP45" i="2"/>
  <c r="CF45" i="2"/>
  <c r="DU45" i="2"/>
  <c r="BE46" i="2"/>
  <c r="CK46" i="2"/>
  <c r="DQ46" i="2"/>
  <c r="BA47" i="2"/>
  <c r="BZ47" i="2"/>
  <c r="CW47" i="2"/>
  <c r="DR47" i="2"/>
  <c r="AP48" i="2"/>
  <c r="BM48" i="2"/>
  <c r="CH48" i="2"/>
  <c r="DB48" i="2"/>
  <c r="DX48" i="2"/>
  <c r="AR49" i="2"/>
  <c r="BH49" i="2"/>
  <c r="BX49" i="2"/>
  <c r="CL49" i="2"/>
  <c r="CW49" i="2"/>
  <c r="DK49" i="2"/>
  <c r="DV49" i="2"/>
  <c r="EJ49" i="2"/>
  <c r="BB50" i="2"/>
  <c r="BM50" i="2"/>
  <c r="BZ50" i="2"/>
  <c r="CH50" i="2"/>
  <c r="CP50" i="2"/>
  <c r="CX50" i="2"/>
  <c r="DF50" i="2"/>
  <c r="DN50" i="2"/>
  <c r="DV50" i="2"/>
  <c r="ED50" i="2"/>
  <c r="AP51" i="2"/>
  <c r="AX51" i="2"/>
  <c r="BF51" i="2"/>
  <c r="BN51" i="2"/>
  <c r="BV51" i="2"/>
  <c r="CD51" i="2"/>
  <c r="CL51" i="2"/>
  <c r="CT51" i="2"/>
  <c r="DB51" i="2"/>
  <c r="DJ51" i="2"/>
  <c r="DR51" i="2"/>
  <c r="DZ51" i="2"/>
  <c r="EH51" i="2"/>
  <c r="AT52" i="2"/>
  <c r="BB52" i="2"/>
  <c r="BJ52" i="2"/>
  <c r="BR52" i="2"/>
  <c r="BZ52" i="2"/>
  <c r="CH52" i="2"/>
  <c r="CP52" i="2"/>
  <c r="CX52" i="2"/>
  <c r="DF52" i="2"/>
  <c r="DN52" i="2"/>
  <c r="DV52" i="2"/>
  <c r="ED52" i="2"/>
  <c r="AN41" i="2"/>
  <c r="AN49" i="2"/>
  <c r="AA49" i="2"/>
  <c r="AB49" i="2" s="1"/>
  <c r="AC49" i="2" s="1"/>
  <c r="AA45" i="2"/>
  <c r="AB45" i="2" s="1"/>
  <c r="AC45" i="2" s="1"/>
  <c r="AA41" i="2"/>
  <c r="AB41" i="2" s="1"/>
  <c r="AC41" i="2" s="1"/>
  <c r="AA19" i="2"/>
  <c r="AB19" i="2" s="1"/>
  <c r="AC19" i="2" s="1"/>
  <c r="AA27" i="2"/>
  <c r="AB27" i="2" s="1"/>
  <c r="AC27" i="2" s="1"/>
  <c r="BL14" i="2"/>
  <c r="BT14" i="2"/>
  <c r="CB14" i="2"/>
  <c r="CJ14" i="2"/>
  <c r="CR14" i="2"/>
  <c r="CE39" i="2"/>
  <c r="DG40" i="2"/>
  <c r="EI41" i="2"/>
  <c r="BO43" i="2"/>
  <c r="CP44" i="2"/>
  <c r="AZ45" i="2"/>
  <c r="CP45" i="2"/>
  <c r="EC45" i="2"/>
  <c r="BM46" i="2"/>
  <c r="CS46" i="2"/>
  <c r="DY46" i="2"/>
  <c r="BI47" i="2"/>
  <c r="CG47" i="2"/>
  <c r="DB47" i="2"/>
  <c r="DV47" i="2"/>
  <c r="AW48" i="2"/>
  <c r="BR48" i="2"/>
  <c r="CL48" i="2"/>
  <c r="DI48" i="2"/>
  <c r="DZ48" i="2"/>
  <c r="AT49" i="2"/>
  <c r="BJ49" i="2"/>
  <c r="BZ49" i="2"/>
  <c r="CN49" i="2"/>
  <c r="DB49" i="2"/>
  <c r="DM49" i="2"/>
  <c r="EA49" i="2"/>
  <c r="AP50" i="2"/>
  <c r="BD50" i="2"/>
  <c r="BR50" i="2"/>
  <c r="CB50" i="2"/>
  <c r="CJ50" i="2"/>
  <c r="CR50" i="2"/>
  <c r="CZ50" i="2"/>
  <c r="DH50" i="2"/>
  <c r="DP50" i="2"/>
  <c r="DX50" i="2"/>
  <c r="EF50" i="2"/>
  <c r="AR51" i="2"/>
  <c r="AZ51" i="2"/>
  <c r="BH51" i="2"/>
  <c r="BP51" i="2"/>
  <c r="BX51" i="2"/>
  <c r="CF51" i="2"/>
  <c r="CN51" i="2"/>
  <c r="CV51" i="2"/>
  <c r="DD51" i="2"/>
  <c r="DL51" i="2"/>
  <c r="DT51" i="2"/>
  <c r="EB51" i="2"/>
  <c r="EJ51" i="2"/>
  <c r="AV52" i="2"/>
  <c r="BD52" i="2"/>
  <c r="BL52" i="2"/>
  <c r="BT52" i="2"/>
  <c r="CB52" i="2"/>
  <c r="CJ52" i="2"/>
  <c r="CR52" i="2"/>
  <c r="CZ52" i="2"/>
  <c r="DH52" i="2"/>
  <c r="DP52" i="2"/>
  <c r="DX52" i="2"/>
  <c r="EF52" i="2"/>
  <c r="AN43" i="2"/>
  <c r="AN51" i="2"/>
  <c r="AA48" i="2"/>
  <c r="AB48" i="2" s="1"/>
  <c r="AC48" i="2" s="1"/>
  <c r="AA44" i="2"/>
  <c r="AB44" i="2" s="1"/>
  <c r="AC44" i="2" s="1"/>
  <c r="AA40" i="2"/>
  <c r="AB40" i="2" s="1"/>
  <c r="AC40" i="2" s="1"/>
  <c r="AA21" i="2"/>
  <c r="AB21" i="2" s="1"/>
  <c r="AC21" i="2" s="1"/>
  <c r="AO14" i="2"/>
  <c r="AX14" i="2"/>
  <c r="BF14" i="2"/>
  <c r="BN14" i="2"/>
  <c r="BV14" i="2"/>
  <c r="CD14" i="2"/>
  <c r="CL14" i="2"/>
  <c r="DD41" i="2"/>
  <c r="CG45" i="2"/>
  <c r="DR46" i="2"/>
  <c r="DU47" i="2"/>
  <c r="DF48" i="2"/>
  <c r="BY49" i="2"/>
  <c r="DZ49" i="2"/>
  <c r="CA50" i="2"/>
  <c r="DG50" i="2"/>
  <c r="AQ51" i="2"/>
  <c r="BW51" i="2"/>
  <c r="DC51" i="2"/>
  <c r="EI51" i="2"/>
  <c r="BS52" i="2"/>
  <c r="CY52" i="2"/>
  <c r="EE52" i="2"/>
  <c r="AW14" i="2"/>
  <c r="CC14" i="2"/>
  <c r="CS14" i="2"/>
  <c r="DA14" i="2"/>
  <c r="DI14" i="2"/>
  <c r="DQ14" i="2"/>
  <c r="DY14" i="2"/>
  <c r="EG14" i="2"/>
  <c r="AS15" i="2"/>
  <c r="BA15" i="2"/>
  <c r="BI15" i="2"/>
  <c r="BQ15" i="2"/>
  <c r="BY15" i="2"/>
  <c r="CG15" i="2"/>
  <c r="CO15" i="2"/>
  <c r="CW15" i="2"/>
  <c r="DE15" i="2"/>
  <c r="DM15" i="2"/>
  <c r="DU15" i="2"/>
  <c r="EC15" i="2"/>
  <c r="AO16" i="2"/>
  <c r="AW16" i="2"/>
  <c r="BE16" i="2"/>
  <c r="BM16" i="2"/>
  <c r="BU16" i="2"/>
  <c r="CC16" i="2"/>
  <c r="CK16" i="2"/>
  <c r="CS16" i="2"/>
  <c r="DA16" i="2"/>
  <c r="DI16" i="2"/>
  <c r="DQ16" i="2"/>
  <c r="DY16" i="2"/>
  <c r="EG16" i="2"/>
  <c r="AS17" i="2"/>
  <c r="BA17" i="2"/>
  <c r="BI17" i="2"/>
  <c r="BQ17" i="2"/>
  <c r="BY17" i="2"/>
  <c r="CG17" i="2"/>
  <c r="CO17" i="2"/>
  <c r="CW17" i="2"/>
  <c r="DE17" i="2"/>
  <c r="DM17" i="2"/>
  <c r="DU17" i="2"/>
  <c r="EC17" i="2"/>
  <c r="AO18" i="2"/>
  <c r="AW18" i="2"/>
  <c r="BE18" i="2"/>
  <c r="BM18" i="2"/>
  <c r="BU18" i="2"/>
  <c r="CC18" i="2"/>
  <c r="CK18" i="2"/>
  <c r="CS18" i="2"/>
  <c r="DA18" i="2"/>
  <c r="DI18" i="2"/>
  <c r="DQ18" i="2"/>
  <c r="DY18" i="2"/>
  <c r="EG18" i="2"/>
  <c r="AS19" i="2"/>
  <c r="BA19" i="2"/>
  <c r="BI19" i="2"/>
  <c r="BQ19" i="2"/>
  <c r="BY19" i="2"/>
  <c r="CG19" i="2"/>
  <c r="CO19" i="2"/>
  <c r="CW19" i="2"/>
  <c r="DE19" i="2"/>
  <c r="EJ41" i="2"/>
  <c r="CQ45" i="2"/>
  <c r="DZ46" i="2"/>
  <c r="DZ47" i="2"/>
  <c r="DJ48" i="2"/>
  <c r="CD49" i="2"/>
  <c r="EB49" i="2"/>
  <c r="CC50" i="2"/>
  <c r="DI50" i="2"/>
  <c r="AS51" i="2"/>
  <c r="BY51" i="2"/>
  <c r="DE51" i="2"/>
  <c r="AO52" i="2"/>
  <c r="BU52" i="2"/>
  <c r="DA52" i="2"/>
  <c r="EG52" i="2"/>
  <c r="AA52" i="2"/>
  <c r="AB52" i="2" s="1"/>
  <c r="AC52" i="2" s="1"/>
  <c r="AY14" i="2"/>
  <c r="CE14" i="2"/>
  <c r="CT14" i="2"/>
  <c r="DB14" i="2"/>
  <c r="DJ14" i="2"/>
  <c r="DR14" i="2"/>
  <c r="DZ14" i="2"/>
  <c r="EH14" i="2"/>
  <c r="AT15" i="2"/>
  <c r="BB15" i="2"/>
  <c r="BJ15" i="2"/>
  <c r="BR15" i="2"/>
  <c r="BZ15" i="2"/>
  <c r="CH15" i="2"/>
  <c r="CP15" i="2"/>
  <c r="CX15" i="2"/>
  <c r="DF15" i="2"/>
  <c r="DN15" i="2"/>
  <c r="DV15" i="2"/>
  <c r="ED15" i="2"/>
  <c r="AP16" i="2"/>
  <c r="AX16" i="2"/>
  <c r="BF16" i="2"/>
  <c r="BN16" i="2"/>
  <c r="BV16" i="2"/>
  <c r="CD16" i="2"/>
  <c r="CL16" i="2"/>
  <c r="CT16" i="2"/>
  <c r="DB16" i="2"/>
  <c r="DJ16" i="2"/>
  <c r="DR16" i="2"/>
  <c r="DZ16" i="2"/>
  <c r="EH16" i="2"/>
  <c r="AT17" i="2"/>
  <c r="BB17" i="2"/>
  <c r="BJ17" i="2"/>
  <c r="BR17" i="2"/>
  <c r="BZ17" i="2"/>
  <c r="CH17" i="2"/>
  <c r="CP17" i="2"/>
  <c r="CX17" i="2"/>
  <c r="DF17" i="2"/>
  <c r="DN17" i="2"/>
  <c r="DV17" i="2"/>
  <c r="ED17" i="2"/>
  <c r="AP18" i="2"/>
  <c r="AX18" i="2"/>
  <c r="BF18" i="2"/>
  <c r="BN18" i="2"/>
  <c r="BV18" i="2"/>
  <c r="CD18" i="2"/>
  <c r="CL18" i="2"/>
  <c r="CT18" i="2"/>
  <c r="DB18" i="2"/>
  <c r="DJ18" i="2"/>
  <c r="EF42" i="2"/>
  <c r="DV45" i="2"/>
  <c r="BB47" i="2"/>
  <c r="AT48" i="2"/>
  <c r="DY48" i="2"/>
  <c r="CM49" i="2"/>
  <c r="AO50" i="2"/>
  <c r="CI50" i="2"/>
  <c r="DO50" i="2"/>
  <c r="AY51" i="2"/>
  <c r="CE51" i="2"/>
  <c r="DK51" i="2"/>
  <c r="AU52" i="2"/>
  <c r="CA52" i="2"/>
  <c r="DG52" i="2"/>
  <c r="BE14" i="2"/>
  <c r="CK14" i="2"/>
  <c r="CU14" i="2"/>
  <c r="DC14" i="2"/>
  <c r="DK14" i="2"/>
  <c r="DS14" i="2"/>
  <c r="EA14" i="2"/>
  <c r="EI14" i="2"/>
  <c r="AU15" i="2"/>
  <c r="BC15" i="2"/>
  <c r="BK15" i="2"/>
  <c r="BS15" i="2"/>
  <c r="CA15" i="2"/>
  <c r="CI15" i="2"/>
  <c r="CQ15" i="2"/>
  <c r="CY15" i="2"/>
  <c r="DG15" i="2"/>
  <c r="DO15" i="2"/>
  <c r="DW15" i="2"/>
  <c r="EE15" i="2"/>
  <c r="AQ16" i="2"/>
  <c r="AY16" i="2"/>
  <c r="BG16" i="2"/>
  <c r="BO16" i="2"/>
  <c r="BW16" i="2"/>
  <c r="CE16" i="2"/>
  <c r="CM16" i="2"/>
  <c r="CU16" i="2"/>
  <c r="DC16" i="2"/>
  <c r="DK16" i="2"/>
  <c r="DS16" i="2"/>
  <c r="EA16" i="2"/>
  <c r="EI16" i="2"/>
  <c r="AU17" i="2"/>
  <c r="BC17" i="2"/>
  <c r="BK17" i="2"/>
  <c r="BS17" i="2"/>
  <c r="CA17" i="2"/>
  <c r="CI17" i="2"/>
  <c r="CQ17" i="2"/>
  <c r="CY17" i="2"/>
  <c r="DG17" i="2"/>
  <c r="DO17" i="2"/>
  <c r="BP43" i="2"/>
  <c r="ED45" i="2"/>
  <c r="BJ47" i="2"/>
  <c r="AX48" i="2"/>
  <c r="ED48" i="2"/>
  <c r="CO49" i="2"/>
  <c r="AT50" i="2"/>
  <c r="CK50" i="2"/>
  <c r="DQ50" i="2"/>
  <c r="BA51" i="2"/>
  <c r="CG51" i="2"/>
  <c r="DM51" i="2"/>
  <c r="AW52" i="2"/>
  <c r="CC52" i="2"/>
  <c r="DI52" i="2"/>
  <c r="AN44" i="2"/>
  <c r="AA51" i="2"/>
  <c r="AB51" i="2" s="1"/>
  <c r="AC51" i="2" s="1"/>
  <c r="AA16" i="2"/>
  <c r="AB16" i="2" s="1"/>
  <c r="AC16" i="2" s="1"/>
  <c r="CM14" i="2"/>
  <c r="CV14" i="2"/>
  <c r="DD14" i="2"/>
  <c r="DL14" i="2"/>
  <c r="DT14" i="2"/>
  <c r="EB14" i="2"/>
  <c r="EJ14" i="2"/>
  <c r="AV15" i="2"/>
  <c r="BD15" i="2"/>
  <c r="BL15" i="2"/>
  <c r="BT15" i="2"/>
  <c r="CB15" i="2"/>
  <c r="CJ15" i="2"/>
  <c r="CR15" i="2"/>
  <c r="CZ15" i="2"/>
  <c r="DH15" i="2"/>
  <c r="DP15" i="2"/>
  <c r="DX15" i="2"/>
  <c r="EF15" i="2"/>
  <c r="AR16" i="2"/>
  <c r="AZ16" i="2"/>
  <c r="BH16" i="2"/>
  <c r="BP16" i="2"/>
  <c r="BX16" i="2"/>
  <c r="CF16" i="2"/>
  <c r="CN16" i="2"/>
  <c r="CV16" i="2"/>
  <c r="DD16" i="2"/>
  <c r="DL16" i="2"/>
  <c r="DT16" i="2"/>
  <c r="EB16" i="2"/>
  <c r="EJ16" i="2"/>
  <c r="AV17" i="2"/>
  <c r="BD17" i="2"/>
  <c r="BL17" i="2"/>
  <c r="BT17" i="2"/>
  <c r="CB17" i="2"/>
  <c r="CJ17" i="2"/>
  <c r="CR17" i="2"/>
  <c r="CZ17" i="2"/>
  <c r="DH17" i="2"/>
  <c r="CB40" i="2"/>
  <c r="AQ45" i="2"/>
  <c r="CL46" i="2"/>
  <c r="CX47" i="2"/>
  <c r="CK48" i="2"/>
  <c r="BI49" i="2"/>
  <c r="DL49" i="2"/>
  <c r="BN50" i="2"/>
  <c r="CY50" i="2"/>
  <c r="EE50" i="2"/>
  <c r="BO51" i="2"/>
  <c r="CU51" i="2"/>
  <c r="EA51" i="2"/>
  <c r="BK52" i="2"/>
  <c r="CQ52" i="2"/>
  <c r="DW52" i="2"/>
  <c r="AS14" i="2"/>
  <c r="BU14" i="2"/>
  <c r="CP14" i="2"/>
  <c r="CY14" i="2"/>
  <c r="DG14" i="2"/>
  <c r="DO14" i="2"/>
  <c r="DW14" i="2"/>
  <c r="EE14" i="2"/>
  <c r="AQ15" i="2"/>
  <c r="AY15" i="2"/>
  <c r="BG15" i="2"/>
  <c r="BO15" i="2"/>
  <c r="BW15" i="2"/>
  <c r="CE15" i="2"/>
  <c r="CM15" i="2"/>
  <c r="CU15" i="2"/>
  <c r="DC15" i="2"/>
  <c r="DK15" i="2"/>
  <c r="DS15" i="2"/>
  <c r="EA15" i="2"/>
  <c r="EI15" i="2"/>
  <c r="CQ44" i="2"/>
  <c r="BN48" i="2"/>
  <c r="DN49" i="2"/>
  <c r="DY50" i="2"/>
  <c r="DS51" i="2"/>
  <c r="CS52" i="2"/>
  <c r="AA20" i="2"/>
  <c r="AB20" i="2" s="1"/>
  <c r="AC20" i="2" s="1"/>
  <c r="CQ14" i="2"/>
  <c r="DN14" i="2"/>
  <c r="AO15" i="2"/>
  <c r="BH15" i="2"/>
  <c r="CD15" i="2"/>
  <c r="DA15" i="2"/>
  <c r="DT15" i="2"/>
  <c r="AT16" i="2"/>
  <c r="BJ16" i="2"/>
  <c r="BZ16" i="2"/>
  <c r="CP16" i="2"/>
  <c r="DF16" i="2"/>
  <c r="DV16" i="2"/>
  <c r="AP17" i="2"/>
  <c r="BF17" i="2"/>
  <c r="BV17" i="2"/>
  <c r="CL17" i="2"/>
  <c r="DB17" i="2"/>
  <c r="DQ17" i="2"/>
  <c r="EA17" i="2"/>
  <c r="AQ18" i="2"/>
  <c r="BA18" i="2"/>
  <c r="BK18" i="2"/>
  <c r="BW18" i="2"/>
  <c r="CG18" i="2"/>
  <c r="CQ18" i="2"/>
  <c r="DC18" i="2"/>
  <c r="DM18" i="2"/>
  <c r="DV18" i="2"/>
  <c r="EE18" i="2"/>
  <c r="AR19" i="2"/>
  <c r="BB19" i="2"/>
  <c r="BK19" i="2"/>
  <c r="BT19" i="2"/>
  <c r="CC19" i="2"/>
  <c r="CL19" i="2"/>
  <c r="CU19" i="2"/>
  <c r="DD19" i="2"/>
  <c r="DM19" i="2"/>
  <c r="DU19" i="2"/>
  <c r="EC19" i="2"/>
  <c r="AO20" i="2"/>
  <c r="AW20" i="2"/>
  <c r="BE20" i="2"/>
  <c r="BM20" i="2"/>
  <c r="BU20" i="2"/>
  <c r="CC20" i="2"/>
  <c r="CK20" i="2"/>
  <c r="CS20" i="2"/>
  <c r="DA20" i="2"/>
  <c r="DI20" i="2"/>
  <c r="DQ20" i="2"/>
  <c r="DY20" i="2"/>
  <c r="EG20" i="2"/>
  <c r="AS21" i="2"/>
  <c r="BA21" i="2"/>
  <c r="BI21" i="2"/>
  <c r="BQ21" i="2"/>
  <c r="BY21" i="2"/>
  <c r="CG21" i="2"/>
  <c r="CO21" i="2"/>
  <c r="CW21" i="2"/>
  <c r="DE21" i="2"/>
  <c r="DM21" i="2"/>
  <c r="DU21" i="2"/>
  <c r="EC21" i="2"/>
  <c r="AO22" i="2"/>
  <c r="BA45" i="2"/>
  <c r="BU48" i="2"/>
  <c r="BC50" i="2"/>
  <c r="EG50" i="2"/>
  <c r="DU51" i="2"/>
  <c r="DO52" i="2"/>
  <c r="AA22" i="2"/>
  <c r="AB22" i="2" s="1"/>
  <c r="AC22" i="2" s="1"/>
  <c r="CW14" i="2"/>
  <c r="DP14" i="2"/>
  <c r="AP15" i="2"/>
  <c r="BM15" i="2"/>
  <c r="CF15" i="2"/>
  <c r="DB15" i="2"/>
  <c r="DY15" i="2"/>
  <c r="AU16" i="2"/>
  <c r="BK16" i="2"/>
  <c r="CA16" i="2"/>
  <c r="CQ16" i="2"/>
  <c r="DG16" i="2"/>
  <c r="DW16" i="2"/>
  <c r="AQ17" i="2"/>
  <c r="BG17" i="2"/>
  <c r="BW17" i="2"/>
  <c r="CM17" i="2"/>
  <c r="DC17" i="2"/>
  <c r="DR17" i="2"/>
  <c r="EB17" i="2"/>
  <c r="AR18" i="2"/>
  <c r="BB18" i="2"/>
  <c r="BL18" i="2"/>
  <c r="BX18" i="2"/>
  <c r="CH18" i="2"/>
  <c r="CR18" i="2"/>
  <c r="DD18" i="2"/>
  <c r="DN18" i="2"/>
  <c r="DW18" i="2"/>
  <c r="EF18" i="2"/>
  <c r="AT19" i="2"/>
  <c r="BC19" i="2"/>
  <c r="BL19" i="2"/>
  <c r="BU19" i="2"/>
  <c r="CD19" i="2"/>
  <c r="CM19" i="2"/>
  <c r="CV19" i="2"/>
  <c r="DF19" i="2"/>
  <c r="DN19" i="2"/>
  <c r="DV19" i="2"/>
  <c r="ED19" i="2"/>
  <c r="AP20" i="2"/>
  <c r="AX20" i="2"/>
  <c r="BF20" i="2"/>
  <c r="BN20" i="2"/>
  <c r="BV20" i="2"/>
  <c r="CD20" i="2"/>
  <c r="CL20" i="2"/>
  <c r="CT20" i="2"/>
  <c r="DB20" i="2"/>
  <c r="DJ20" i="2"/>
  <c r="DR20" i="2"/>
  <c r="DZ20" i="2"/>
  <c r="EH20" i="2"/>
  <c r="AT21" i="2"/>
  <c r="BB21" i="2"/>
  <c r="BJ21" i="2"/>
  <c r="BR21" i="2"/>
  <c r="BZ21" i="2"/>
  <c r="CH21" i="2"/>
  <c r="CP21" i="2"/>
  <c r="CX21" i="2"/>
  <c r="DF21" i="2"/>
  <c r="DN21" i="2"/>
  <c r="DV21" i="2"/>
  <c r="ED21" i="2"/>
  <c r="AP22" i="2"/>
  <c r="BF46" i="2"/>
  <c r="CP48" i="2"/>
  <c r="BE50" i="2"/>
  <c r="BG51" i="2"/>
  <c r="EC51" i="2"/>
  <c r="DQ52" i="2"/>
  <c r="AP14" i="2"/>
  <c r="CX14" i="2"/>
  <c r="DU14" i="2"/>
  <c r="AR15" i="2"/>
  <c r="BN15" i="2"/>
  <c r="CK15" i="2"/>
  <c r="DD15" i="2"/>
  <c r="DZ15" i="2"/>
  <c r="AV16" i="2"/>
  <c r="BL16" i="2"/>
  <c r="CB16" i="2"/>
  <c r="CR16" i="2"/>
  <c r="DH16" i="2"/>
  <c r="DX16" i="2"/>
  <c r="AR17" i="2"/>
  <c r="BH17" i="2"/>
  <c r="BX17" i="2"/>
  <c r="CN17" i="2"/>
  <c r="DD17" i="2"/>
  <c r="DS17" i="2"/>
  <c r="EE17" i="2"/>
  <c r="AS18" i="2"/>
  <c r="BC18" i="2"/>
  <c r="BO18" i="2"/>
  <c r="BY18" i="2"/>
  <c r="CI18" i="2"/>
  <c r="CU18" i="2"/>
  <c r="DE18" i="2"/>
  <c r="DO18" i="2"/>
  <c r="DX18" i="2"/>
  <c r="EH18" i="2"/>
  <c r="AU19" i="2"/>
  <c r="BD19" i="2"/>
  <c r="BM19" i="2"/>
  <c r="BV19" i="2"/>
  <c r="CE19" i="2"/>
  <c r="CN19" i="2"/>
  <c r="CX19" i="2"/>
  <c r="DG19" i="2"/>
  <c r="DO19" i="2"/>
  <c r="DW19" i="2"/>
  <c r="EE19" i="2"/>
  <c r="AQ20" i="2"/>
  <c r="AY20" i="2"/>
  <c r="BG20" i="2"/>
  <c r="BO20" i="2"/>
  <c r="BW20" i="2"/>
  <c r="CE20" i="2"/>
  <c r="CM20" i="2"/>
  <c r="CU20" i="2"/>
  <c r="DC20" i="2"/>
  <c r="DK20" i="2"/>
  <c r="DS20" i="2"/>
  <c r="EA20" i="2"/>
  <c r="EI20" i="2"/>
  <c r="AU21" i="2"/>
  <c r="BC21" i="2"/>
  <c r="BK21" i="2"/>
  <c r="BS21" i="2"/>
  <c r="CA21" i="2"/>
  <c r="CI21" i="2"/>
  <c r="BN46" i="2"/>
  <c r="AS49" i="2"/>
  <c r="BS50" i="2"/>
  <c r="BI51" i="2"/>
  <c r="BC52" i="2"/>
  <c r="DY52" i="2"/>
  <c r="BM14" i="2"/>
  <c r="CZ14" i="2"/>
  <c r="DV14" i="2"/>
  <c r="AW15" i="2"/>
  <c r="BP15" i="2"/>
  <c r="CL15" i="2"/>
  <c r="DI15" i="2"/>
  <c r="EB15" i="2"/>
  <c r="BA16" i="2"/>
  <c r="BQ16" i="2"/>
  <c r="CG16" i="2"/>
  <c r="CW16" i="2"/>
  <c r="DM16" i="2"/>
  <c r="EC16" i="2"/>
  <c r="AW17" i="2"/>
  <c r="BM17" i="2"/>
  <c r="CC17" i="2"/>
  <c r="CS17" i="2"/>
  <c r="DI17" i="2"/>
  <c r="DT17" i="2"/>
  <c r="EF17" i="2"/>
  <c r="AT18" i="2"/>
  <c r="BD18" i="2"/>
  <c r="BP18" i="2"/>
  <c r="BZ18" i="2"/>
  <c r="CJ18" i="2"/>
  <c r="CV18" i="2"/>
  <c r="DF18" i="2"/>
  <c r="DP18" i="2"/>
  <c r="DZ18" i="2"/>
  <c r="EI18" i="2"/>
  <c r="AV19" i="2"/>
  <c r="BE19" i="2"/>
  <c r="BN19" i="2"/>
  <c r="BW19" i="2"/>
  <c r="CF19" i="2"/>
  <c r="CP19" i="2"/>
  <c r="CY19" i="2"/>
  <c r="DH19" i="2"/>
  <c r="DP19" i="2"/>
  <c r="DX19" i="2"/>
  <c r="EF19" i="2"/>
  <c r="AR20" i="2"/>
  <c r="AZ20" i="2"/>
  <c r="BH20" i="2"/>
  <c r="BP20" i="2"/>
  <c r="BX20" i="2"/>
  <c r="CF20" i="2"/>
  <c r="CN20" i="2"/>
  <c r="CV20" i="2"/>
  <c r="DD20" i="2"/>
  <c r="DL20" i="2"/>
  <c r="DT20" i="2"/>
  <c r="EB20" i="2"/>
  <c r="EJ20" i="2"/>
  <c r="AV21" i="2"/>
  <c r="BD21" i="2"/>
  <c r="BL21" i="2"/>
  <c r="BT21" i="2"/>
  <c r="CB21" i="2"/>
  <c r="CJ21" i="2"/>
  <c r="AZ39" i="2"/>
  <c r="CT46" i="2"/>
  <c r="AX49" i="2"/>
  <c r="CQ50" i="2"/>
  <c r="BQ51" i="2"/>
  <c r="BE52" i="2"/>
  <c r="AN50" i="2"/>
  <c r="BO14" i="2"/>
  <c r="DE14" i="2"/>
  <c r="DX14" i="2"/>
  <c r="AX15" i="2"/>
  <c r="BU15" i="2"/>
  <c r="CN15" i="2"/>
  <c r="DJ15" i="2"/>
  <c r="EG15" i="2"/>
  <c r="BB16" i="2"/>
  <c r="BR16" i="2"/>
  <c r="CH16" i="2"/>
  <c r="CX16" i="2"/>
  <c r="DN16" i="2"/>
  <c r="ED16" i="2"/>
  <c r="AX17" i="2"/>
  <c r="BN17" i="2"/>
  <c r="CD17" i="2"/>
  <c r="CT17" i="2"/>
  <c r="DJ17" i="2"/>
  <c r="DW17" i="2"/>
  <c r="EG17" i="2"/>
  <c r="AU18" i="2"/>
  <c r="BG18" i="2"/>
  <c r="BQ18" i="2"/>
  <c r="CA18" i="2"/>
  <c r="CM18" i="2"/>
  <c r="CW18" i="2"/>
  <c r="DG18" i="2"/>
  <c r="DR18" i="2"/>
  <c r="EA18" i="2"/>
  <c r="EJ18" i="2"/>
  <c r="AW19" i="2"/>
  <c r="BF19" i="2"/>
  <c r="BO19" i="2"/>
  <c r="BX19" i="2"/>
  <c r="CH19" i="2"/>
  <c r="CQ19" i="2"/>
  <c r="CZ19" i="2"/>
  <c r="DI19" i="2"/>
  <c r="DQ19" i="2"/>
  <c r="DY19" i="2"/>
  <c r="EG19" i="2"/>
  <c r="AS20" i="2"/>
  <c r="BA20" i="2"/>
  <c r="BI20" i="2"/>
  <c r="BQ20" i="2"/>
  <c r="BY20" i="2"/>
  <c r="CG20" i="2"/>
  <c r="CO20" i="2"/>
  <c r="CW20" i="2"/>
  <c r="DE20" i="2"/>
  <c r="DM20" i="2"/>
  <c r="DU20" i="2"/>
  <c r="EC20" i="2"/>
  <c r="AO21" i="2"/>
  <c r="AW21" i="2"/>
  <c r="BE21" i="2"/>
  <c r="BM21" i="2"/>
  <c r="BU21" i="2"/>
  <c r="CC21" i="2"/>
  <c r="CK21" i="2"/>
  <c r="CS21" i="2"/>
  <c r="DA21" i="2"/>
  <c r="DI21" i="2"/>
  <c r="DQ21" i="2"/>
  <c r="DY21" i="2"/>
  <c r="EG21" i="2"/>
  <c r="AS22" i="2"/>
  <c r="BA22" i="2"/>
  <c r="BI22" i="2"/>
  <c r="BQ22" i="2"/>
  <c r="BY22" i="2"/>
  <c r="CG22" i="2"/>
  <c r="CO22" i="2"/>
  <c r="CW22" i="2"/>
  <c r="DE22" i="2"/>
  <c r="DM22" i="2"/>
  <c r="DU22" i="2"/>
  <c r="EC22" i="2"/>
  <c r="AO23" i="2"/>
  <c r="AW23" i="2"/>
  <c r="BE23" i="2"/>
  <c r="BM23" i="2"/>
  <c r="BU23" i="2"/>
  <c r="DH40" i="2"/>
  <c r="CH47" i="2"/>
  <c r="CX49" i="2"/>
  <c r="DA50" i="2"/>
  <c r="CO51" i="2"/>
  <c r="CI52" i="2"/>
  <c r="CN14" i="2"/>
  <c r="DH14" i="2"/>
  <c r="ED14" i="2"/>
  <c r="BE15" i="2"/>
  <c r="BX15" i="2"/>
  <c r="CT15" i="2"/>
  <c r="DQ15" i="2"/>
  <c r="EJ15" i="2"/>
  <c r="BD16" i="2"/>
  <c r="BT16" i="2"/>
  <c r="CJ16" i="2"/>
  <c r="CZ16" i="2"/>
  <c r="DP16" i="2"/>
  <c r="EF16" i="2"/>
  <c r="AZ17" i="2"/>
  <c r="BP17" i="2"/>
  <c r="CF17" i="2"/>
  <c r="CV17" i="2"/>
  <c r="DL17" i="2"/>
  <c r="DY17" i="2"/>
  <c r="EI17" i="2"/>
  <c r="AY18" i="2"/>
  <c r="BI18" i="2"/>
  <c r="BS18" i="2"/>
  <c r="CE18" i="2"/>
  <c r="CO18" i="2"/>
  <c r="CY18" i="2"/>
  <c r="DK18" i="2"/>
  <c r="DT18" i="2"/>
  <c r="EC18" i="2"/>
  <c r="AP19" i="2"/>
  <c r="AY19" i="2"/>
  <c r="BH19" i="2"/>
  <c r="BR19" i="2"/>
  <c r="CA19" i="2"/>
  <c r="CJ19" i="2"/>
  <c r="CS19" i="2"/>
  <c r="DB19" i="2"/>
  <c r="DK19" i="2"/>
  <c r="DS19" i="2"/>
  <c r="EA19" i="2"/>
  <c r="EI19" i="2"/>
  <c r="AU20" i="2"/>
  <c r="BC20" i="2"/>
  <c r="BK20" i="2"/>
  <c r="BS20" i="2"/>
  <c r="CA20" i="2"/>
  <c r="CI20" i="2"/>
  <c r="CQ20" i="2"/>
  <c r="CY20" i="2"/>
  <c r="DG20" i="2"/>
  <c r="DO20" i="2"/>
  <c r="DW20" i="2"/>
  <c r="EE20" i="2"/>
  <c r="AQ21" i="2"/>
  <c r="AY21" i="2"/>
  <c r="BG21" i="2"/>
  <c r="BO21" i="2"/>
  <c r="BW21" i="2"/>
  <c r="CE21" i="2"/>
  <c r="CM21" i="2"/>
  <c r="CU21" i="2"/>
  <c r="DC21" i="2"/>
  <c r="DK21" i="2"/>
  <c r="DS21" i="2"/>
  <c r="EA21" i="2"/>
  <c r="EI21" i="2"/>
  <c r="AU22" i="2"/>
  <c r="BC22" i="2"/>
  <c r="BK22" i="2"/>
  <c r="BS22" i="2"/>
  <c r="CA22" i="2"/>
  <c r="CI22" i="2"/>
  <c r="CQ22" i="2"/>
  <c r="CY22" i="2"/>
  <c r="DG22" i="2"/>
  <c r="DO22" i="2"/>
  <c r="DW22" i="2"/>
  <c r="BN49" i="2"/>
  <c r="AN52" i="2"/>
  <c r="BW14" i="2"/>
  <c r="BV15" i="2"/>
  <c r="BC16" i="2"/>
  <c r="DO16" i="2"/>
  <c r="CE17" i="2"/>
  <c r="EH17" i="2"/>
  <c r="CB18" i="2"/>
  <c r="DS18" i="2"/>
  <c r="BG19" i="2"/>
  <c r="CR19" i="2"/>
  <c r="DZ19" i="2"/>
  <c r="BJ20" i="2"/>
  <c r="CP20" i="2"/>
  <c r="DV20" i="2"/>
  <c r="BF21" i="2"/>
  <c r="CL21" i="2"/>
  <c r="DB21" i="2"/>
  <c r="DR21" i="2"/>
  <c r="EH21" i="2"/>
  <c r="AY22" i="2"/>
  <c r="BJ22" i="2"/>
  <c r="BU22" i="2"/>
  <c r="CE22" i="2"/>
  <c r="CP22" i="2"/>
  <c r="DA22" i="2"/>
  <c r="DK22" i="2"/>
  <c r="DV22" i="2"/>
  <c r="EF22" i="2"/>
  <c r="AS23" i="2"/>
  <c r="BB23" i="2"/>
  <c r="BK23" i="2"/>
  <c r="BT23" i="2"/>
  <c r="CC23" i="2"/>
  <c r="CK23" i="2"/>
  <c r="CS23" i="2"/>
  <c r="DA23" i="2"/>
  <c r="DI23" i="2"/>
  <c r="DQ23" i="2"/>
  <c r="DY23" i="2"/>
  <c r="EG23" i="2"/>
  <c r="AS24" i="2"/>
  <c r="BA24" i="2"/>
  <c r="BI24" i="2"/>
  <c r="BQ24" i="2"/>
  <c r="BY24" i="2"/>
  <c r="CG24" i="2"/>
  <c r="CO24" i="2"/>
  <c r="CW24" i="2"/>
  <c r="DE24" i="2"/>
  <c r="DM24" i="2"/>
  <c r="DU24" i="2"/>
  <c r="EC24" i="2"/>
  <c r="AO25" i="2"/>
  <c r="AW25" i="2"/>
  <c r="BE25" i="2"/>
  <c r="BM25" i="2"/>
  <c r="BU25" i="2"/>
  <c r="CC25" i="2"/>
  <c r="CK25" i="2"/>
  <c r="CS25" i="2"/>
  <c r="DA25" i="2"/>
  <c r="DI25" i="2"/>
  <c r="DQ25" i="2"/>
  <c r="DY25" i="2"/>
  <c r="EG25" i="2"/>
  <c r="AS26" i="2"/>
  <c r="BA26" i="2"/>
  <c r="BI26" i="2"/>
  <c r="BQ26" i="2"/>
  <c r="BY26" i="2"/>
  <c r="CG26" i="2"/>
  <c r="CO26" i="2"/>
  <c r="CW26" i="2"/>
  <c r="DE26" i="2"/>
  <c r="DM26" i="2"/>
  <c r="DU26" i="2"/>
  <c r="EC26" i="2"/>
  <c r="AO27" i="2"/>
  <c r="AW27" i="2"/>
  <c r="BE27" i="2"/>
  <c r="BM27" i="2"/>
  <c r="BU27" i="2"/>
  <c r="CC27" i="2"/>
  <c r="CK27" i="2"/>
  <c r="CS27" i="2"/>
  <c r="DA27" i="2"/>
  <c r="DC49" i="2"/>
  <c r="CO14" i="2"/>
  <c r="CC15" i="2"/>
  <c r="BI16" i="2"/>
  <c r="DU16" i="2"/>
  <c r="CK17" i="2"/>
  <c r="EJ17" i="2"/>
  <c r="CF18" i="2"/>
  <c r="DU18" i="2"/>
  <c r="BJ19" i="2"/>
  <c r="CT19" i="2"/>
  <c r="EB19" i="2"/>
  <c r="BL20" i="2"/>
  <c r="CR20" i="2"/>
  <c r="DX20" i="2"/>
  <c r="BH21" i="2"/>
  <c r="CN21" i="2"/>
  <c r="DD21" i="2"/>
  <c r="DT21" i="2"/>
  <c r="EJ21" i="2"/>
  <c r="AZ22" i="2"/>
  <c r="BL22" i="2"/>
  <c r="BV22" i="2"/>
  <c r="CF22" i="2"/>
  <c r="CR22" i="2"/>
  <c r="DB22" i="2"/>
  <c r="DL22" i="2"/>
  <c r="DX22" i="2"/>
  <c r="EG22" i="2"/>
  <c r="AT23" i="2"/>
  <c r="BC23" i="2"/>
  <c r="BL23" i="2"/>
  <c r="BV23" i="2"/>
  <c r="CD23" i="2"/>
  <c r="CL23" i="2"/>
  <c r="CT23" i="2"/>
  <c r="DB23" i="2"/>
  <c r="DJ23" i="2"/>
  <c r="DR23" i="2"/>
  <c r="DZ23" i="2"/>
  <c r="EH23" i="2"/>
  <c r="AT24" i="2"/>
  <c r="BB24" i="2"/>
  <c r="BJ24" i="2"/>
  <c r="BR24" i="2"/>
  <c r="BZ24" i="2"/>
  <c r="CH24" i="2"/>
  <c r="CP24" i="2"/>
  <c r="CX24" i="2"/>
  <c r="DF24" i="2"/>
  <c r="DN24" i="2"/>
  <c r="DV24" i="2"/>
  <c r="ED24" i="2"/>
  <c r="AP25" i="2"/>
  <c r="AX25" i="2"/>
  <c r="BF25" i="2"/>
  <c r="BN25" i="2"/>
  <c r="BV25" i="2"/>
  <c r="CD25" i="2"/>
  <c r="CL25" i="2"/>
  <c r="CT25" i="2"/>
  <c r="DB25" i="2"/>
  <c r="DJ25" i="2"/>
  <c r="DR25" i="2"/>
  <c r="DZ25" i="2"/>
  <c r="EH25" i="2"/>
  <c r="AT26" i="2"/>
  <c r="BB26" i="2"/>
  <c r="BJ26" i="2"/>
  <c r="BR26" i="2"/>
  <c r="BZ26" i="2"/>
  <c r="CH26" i="2"/>
  <c r="CP26" i="2"/>
  <c r="CX26" i="2"/>
  <c r="DF26" i="2"/>
  <c r="DN26" i="2"/>
  <c r="DV26" i="2"/>
  <c r="ED26" i="2"/>
  <c r="AP27" i="2"/>
  <c r="AX27" i="2"/>
  <c r="BF27" i="2"/>
  <c r="BN27" i="2"/>
  <c r="BV27" i="2"/>
  <c r="CD27" i="2"/>
  <c r="CS50" i="2"/>
  <c r="DF14" i="2"/>
  <c r="CS15" i="2"/>
  <c r="BS16" i="2"/>
  <c r="EE16" i="2"/>
  <c r="CU17" i="2"/>
  <c r="AV18" i="2"/>
  <c r="CN18" i="2"/>
  <c r="EB18" i="2"/>
  <c r="BP19" i="2"/>
  <c r="DA19" i="2"/>
  <c r="EH19" i="2"/>
  <c r="BR20" i="2"/>
  <c r="CX20" i="2"/>
  <c r="ED20" i="2"/>
  <c r="BN21" i="2"/>
  <c r="CQ21" i="2"/>
  <c r="DG21" i="2"/>
  <c r="DW21" i="2"/>
  <c r="AQ22" i="2"/>
  <c r="BB22" i="2"/>
  <c r="BM22" i="2"/>
  <c r="BW22" i="2"/>
  <c r="CH22" i="2"/>
  <c r="CS22" i="2"/>
  <c r="DC22" i="2"/>
  <c r="DN22" i="2"/>
  <c r="DY22" i="2"/>
  <c r="EH22" i="2"/>
  <c r="AU23" i="2"/>
  <c r="BD23" i="2"/>
  <c r="BN23" i="2"/>
  <c r="BW23" i="2"/>
  <c r="CE23" i="2"/>
  <c r="CM23" i="2"/>
  <c r="CU23" i="2"/>
  <c r="DC23" i="2"/>
  <c r="DK23" i="2"/>
  <c r="DS23" i="2"/>
  <c r="EA23" i="2"/>
  <c r="EI23" i="2"/>
  <c r="AU24" i="2"/>
  <c r="BC24" i="2"/>
  <c r="BK24" i="2"/>
  <c r="BS24" i="2"/>
  <c r="CA24" i="2"/>
  <c r="CI24" i="2"/>
  <c r="CQ24" i="2"/>
  <c r="CY24" i="2"/>
  <c r="DG24" i="2"/>
  <c r="DO24" i="2"/>
  <c r="DW24" i="2"/>
  <c r="EE24" i="2"/>
  <c r="AQ25" i="2"/>
  <c r="AY25" i="2"/>
  <c r="BG25" i="2"/>
  <c r="BO25" i="2"/>
  <c r="BW25" i="2"/>
  <c r="CE25" i="2"/>
  <c r="CM25" i="2"/>
  <c r="CU25" i="2"/>
  <c r="DC25" i="2"/>
  <c r="DK25" i="2"/>
  <c r="DS25" i="2"/>
  <c r="EA25" i="2"/>
  <c r="EI25" i="2"/>
  <c r="AU26" i="2"/>
  <c r="BC26" i="2"/>
  <c r="BK26" i="2"/>
  <c r="BS26" i="2"/>
  <c r="CA26" i="2"/>
  <c r="CI26" i="2"/>
  <c r="CQ26" i="2"/>
  <c r="CY26" i="2"/>
  <c r="DG26" i="2"/>
  <c r="DO26" i="2"/>
  <c r="DW26" i="2"/>
  <c r="EE26" i="2"/>
  <c r="AQ27" i="2"/>
  <c r="AY27" i="2"/>
  <c r="BG27" i="2"/>
  <c r="BO27" i="2"/>
  <c r="BW27" i="2"/>
  <c r="CE27" i="2"/>
  <c r="CM27" i="2"/>
  <c r="CU27" i="2"/>
  <c r="DW50" i="2"/>
  <c r="DM14" i="2"/>
  <c r="CV15" i="2"/>
  <c r="BY16" i="2"/>
  <c r="AO17" i="2"/>
  <c r="DA17" i="2"/>
  <c r="AZ18" i="2"/>
  <c r="CP18" i="2"/>
  <c r="ED18" i="2"/>
  <c r="BS19" i="2"/>
  <c r="DC19" i="2"/>
  <c r="EJ19" i="2"/>
  <c r="BT20" i="2"/>
  <c r="CZ20" i="2"/>
  <c r="EF20" i="2"/>
  <c r="BP21" i="2"/>
  <c r="CR21" i="2"/>
  <c r="DH21" i="2"/>
  <c r="DX21" i="2"/>
  <c r="AR22" i="2"/>
  <c r="BD22" i="2"/>
  <c r="BN22" i="2"/>
  <c r="BX22" i="2"/>
  <c r="CJ22" i="2"/>
  <c r="CT22" i="2"/>
  <c r="DD22" i="2"/>
  <c r="DP22" i="2"/>
  <c r="DZ22" i="2"/>
  <c r="EI22" i="2"/>
  <c r="AV23" i="2"/>
  <c r="BF23" i="2"/>
  <c r="BO23" i="2"/>
  <c r="BX23" i="2"/>
  <c r="CF23" i="2"/>
  <c r="CN23" i="2"/>
  <c r="CV23" i="2"/>
  <c r="DD23" i="2"/>
  <c r="DL23" i="2"/>
  <c r="DT23" i="2"/>
  <c r="EB23" i="2"/>
  <c r="EJ23" i="2"/>
  <c r="AV24" i="2"/>
  <c r="BD24" i="2"/>
  <c r="BL24" i="2"/>
  <c r="BT24" i="2"/>
  <c r="CB24" i="2"/>
  <c r="CJ24" i="2"/>
  <c r="CR24" i="2"/>
  <c r="CZ24" i="2"/>
  <c r="DH24" i="2"/>
  <c r="DP24" i="2"/>
  <c r="DX24" i="2"/>
  <c r="EF24" i="2"/>
  <c r="AR25" i="2"/>
  <c r="AZ25" i="2"/>
  <c r="BH25" i="2"/>
  <c r="BP25" i="2"/>
  <c r="BX25" i="2"/>
  <c r="CF25" i="2"/>
  <c r="CN25" i="2"/>
  <c r="CV25" i="2"/>
  <c r="DD25" i="2"/>
  <c r="DL25" i="2"/>
  <c r="DT25" i="2"/>
  <c r="EB25" i="2"/>
  <c r="EJ25" i="2"/>
  <c r="AV26" i="2"/>
  <c r="BD26" i="2"/>
  <c r="BL26" i="2"/>
  <c r="BT26" i="2"/>
  <c r="CB26" i="2"/>
  <c r="CJ26" i="2"/>
  <c r="CF39" i="2"/>
  <c r="CM51" i="2"/>
  <c r="EC14" i="2"/>
  <c r="DL15" i="2"/>
  <c r="CI16" i="2"/>
  <c r="AY17" i="2"/>
  <c r="DK17" i="2"/>
  <c r="BH18" i="2"/>
  <c r="CX18" i="2"/>
  <c r="AO19" i="2"/>
  <c r="BZ19" i="2"/>
  <c r="DJ19" i="2"/>
  <c r="AT20" i="2"/>
  <c r="BZ20" i="2"/>
  <c r="DF20" i="2"/>
  <c r="AP21" i="2"/>
  <c r="BV21" i="2"/>
  <c r="CT21" i="2"/>
  <c r="DJ21" i="2"/>
  <c r="DZ21" i="2"/>
  <c r="AT22" i="2"/>
  <c r="BE22" i="2"/>
  <c r="BO22" i="2"/>
  <c r="BZ22" i="2"/>
  <c r="CK22" i="2"/>
  <c r="CU22" i="2"/>
  <c r="DF22" i="2"/>
  <c r="DQ22" i="2"/>
  <c r="EA22" i="2"/>
  <c r="EJ22" i="2"/>
  <c r="AX23" i="2"/>
  <c r="BG23" i="2"/>
  <c r="BP23" i="2"/>
  <c r="BY23" i="2"/>
  <c r="CG23" i="2"/>
  <c r="CO23" i="2"/>
  <c r="CW23" i="2"/>
  <c r="DE23" i="2"/>
  <c r="DM23" i="2"/>
  <c r="DU23" i="2"/>
  <c r="EC23" i="2"/>
  <c r="AO24" i="2"/>
  <c r="AW24" i="2"/>
  <c r="BE24" i="2"/>
  <c r="BM24" i="2"/>
  <c r="BU24" i="2"/>
  <c r="CC24" i="2"/>
  <c r="CK24" i="2"/>
  <c r="CS24" i="2"/>
  <c r="DA24" i="2"/>
  <c r="DI24" i="2"/>
  <c r="DQ24" i="2"/>
  <c r="DY24" i="2"/>
  <c r="EG24" i="2"/>
  <c r="AS25" i="2"/>
  <c r="BA25" i="2"/>
  <c r="BI25" i="2"/>
  <c r="BQ25" i="2"/>
  <c r="BY25" i="2"/>
  <c r="CG25" i="2"/>
  <c r="CO25" i="2"/>
  <c r="CW25" i="2"/>
  <c r="DE25" i="2"/>
  <c r="DM25" i="2"/>
  <c r="DU25" i="2"/>
  <c r="EC25" i="2"/>
  <c r="AO26" i="2"/>
  <c r="AW26" i="2"/>
  <c r="BE26" i="2"/>
  <c r="BM26" i="2"/>
  <c r="BU26" i="2"/>
  <c r="CC26" i="2"/>
  <c r="CK26" i="2"/>
  <c r="CS26" i="2"/>
  <c r="DA26" i="2"/>
  <c r="DI26" i="2"/>
  <c r="DQ26" i="2"/>
  <c r="DY26" i="2"/>
  <c r="EG26" i="2"/>
  <c r="AS27" i="2"/>
  <c r="BA27" i="2"/>
  <c r="BI27" i="2"/>
  <c r="BQ27" i="2"/>
  <c r="BY27" i="2"/>
  <c r="BL44" i="2"/>
  <c r="CW51" i="2"/>
  <c r="EF14" i="2"/>
  <c r="DR15" i="2"/>
  <c r="CO16" i="2"/>
  <c r="BE17" i="2"/>
  <c r="DP17" i="2"/>
  <c r="BJ18" i="2"/>
  <c r="CZ18" i="2"/>
  <c r="AQ19" i="2"/>
  <c r="CB19" i="2"/>
  <c r="DL19" i="2"/>
  <c r="AV20" i="2"/>
  <c r="CB20" i="2"/>
  <c r="DH20" i="2"/>
  <c r="AR21" i="2"/>
  <c r="BX21" i="2"/>
  <c r="CV21" i="2"/>
  <c r="DL21" i="2"/>
  <c r="EB21" i="2"/>
  <c r="AV22" i="2"/>
  <c r="BF22" i="2"/>
  <c r="BP22" i="2"/>
  <c r="CB22" i="2"/>
  <c r="CL22" i="2"/>
  <c r="CV22" i="2"/>
  <c r="DH22" i="2"/>
  <c r="DR22" i="2"/>
  <c r="EB22" i="2"/>
  <c r="AP23" i="2"/>
  <c r="AY23" i="2"/>
  <c r="BH23" i="2"/>
  <c r="BQ23" i="2"/>
  <c r="BZ23" i="2"/>
  <c r="CH23" i="2"/>
  <c r="CP23" i="2"/>
  <c r="CX23" i="2"/>
  <c r="DF23" i="2"/>
  <c r="DN23" i="2"/>
  <c r="DV23" i="2"/>
  <c r="ED23" i="2"/>
  <c r="AP24" i="2"/>
  <c r="AX24" i="2"/>
  <c r="BF24" i="2"/>
  <c r="BN24" i="2"/>
  <c r="BV24" i="2"/>
  <c r="CD24" i="2"/>
  <c r="CL24" i="2"/>
  <c r="CT24" i="2"/>
  <c r="DB24" i="2"/>
  <c r="DJ24" i="2"/>
  <c r="DR24" i="2"/>
  <c r="DZ24" i="2"/>
  <c r="EH24" i="2"/>
  <c r="AT25" i="2"/>
  <c r="BB25" i="2"/>
  <c r="BJ25" i="2"/>
  <c r="BR25" i="2"/>
  <c r="BZ25" i="2"/>
  <c r="CH25" i="2"/>
  <c r="CP25" i="2"/>
  <c r="CX25" i="2"/>
  <c r="DF25" i="2"/>
  <c r="DN25" i="2"/>
  <c r="DV25" i="2"/>
  <c r="ED25" i="2"/>
  <c r="AP26" i="2"/>
  <c r="AX26" i="2"/>
  <c r="BF26" i="2"/>
  <c r="BN26" i="2"/>
  <c r="BV26" i="2"/>
  <c r="CD26" i="2"/>
  <c r="CL26" i="2"/>
  <c r="CT26" i="2"/>
  <c r="DB26" i="2"/>
  <c r="DJ26" i="2"/>
  <c r="DR26" i="2"/>
  <c r="DZ26" i="2"/>
  <c r="EH26" i="2"/>
  <c r="AT27" i="2"/>
  <c r="BB27" i="2"/>
  <c r="BJ27" i="2"/>
  <c r="BR27" i="2"/>
  <c r="BZ27" i="2"/>
  <c r="EH15" i="2"/>
  <c r="BR18" i="2"/>
  <c r="DR19" i="2"/>
  <c r="AX21" i="2"/>
  <c r="EE21" i="2"/>
  <c r="CC22" i="2"/>
  <c r="DS22" i="2"/>
  <c r="BI23" i="2"/>
  <c r="CQ23" i="2"/>
  <c r="DW23" i="2"/>
  <c r="BG24" i="2"/>
  <c r="CM24" i="2"/>
  <c r="DS24" i="2"/>
  <c r="BC25" i="2"/>
  <c r="CI25" i="2"/>
  <c r="DO25" i="2"/>
  <c r="AY26" i="2"/>
  <c r="CE26" i="2"/>
  <c r="DC26" i="2"/>
  <c r="DX26" i="2"/>
  <c r="AV27" i="2"/>
  <c r="BS27" i="2"/>
  <c r="CI27" i="2"/>
  <c r="CT27" i="2"/>
  <c r="DD27" i="2"/>
  <c r="DL27" i="2"/>
  <c r="DT27" i="2"/>
  <c r="EB27" i="2"/>
  <c r="EJ27" i="2"/>
  <c r="AN22" i="2"/>
  <c r="DE27" i="2"/>
  <c r="DU27" i="2"/>
  <c r="CZ23" i="2"/>
  <c r="CA27" i="2"/>
  <c r="EE27" i="2"/>
  <c r="AN26" i="2"/>
  <c r="AN19" i="2"/>
  <c r="DO21" i="2"/>
  <c r="CE24" i="2"/>
  <c r="CV26" i="2"/>
  <c r="DJ27" i="2"/>
  <c r="DP20" i="2"/>
  <c r="AZ24" i="2"/>
  <c r="DH25" i="2"/>
  <c r="CR27" i="2"/>
  <c r="AS16" i="2"/>
  <c r="BT18" i="2"/>
  <c r="DT19" i="2"/>
  <c r="AZ21" i="2"/>
  <c r="EF21" i="2"/>
  <c r="CD22" i="2"/>
  <c r="DT22" i="2"/>
  <c r="BJ23" i="2"/>
  <c r="CR23" i="2"/>
  <c r="DX23" i="2"/>
  <c r="BH24" i="2"/>
  <c r="CN24" i="2"/>
  <c r="DT24" i="2"/>
  <c r="BD25" i="2"/>
  <c r="CJ25" i="2"/>
  <c r="DP25" i="2"/>
  <c r="AZ26" i="2"/>
  <c r="CF26" i="2"/>
  <c r="DD26" i="2"/>
  <c r="EA26" i="2"/>
  <c r="AZ27" i="2"/>
  <c r="BT27" i="2"/>
  <c r="CJ27" i="2"/>
  <c r="CV27" i="2"/>
  <c r="DM27" i="2"/>
  <c r="EC27" i="2"/>
  <c r="AN23" i="2"/>
  <c r="CV24" i="2"/>
  <c r="BL25" i="2"/>
  <c r="BH26" i="2"/>
  <c r="EF26" i="2"/>
  <c r="CN27" i="2"/>
  <c r="DO27" i="2"/>
  <c r="AN25" i="2"/>
  <c r="EF27" i="2"/>
  <c r="AN27" i="2"/>
  <c r="DX17" i="2"/>
  <c r="BR22" i="2"/>
  <c r="AY24" i="2"/>
  <c r="CA25" i="2"/>
  <c r="DS26" i="2"/>
  <c r="DB27" i="2"/>
  <c r="EH27" i="2"/>
  <c r="BF15" i="2"/>
  <c r="DP21" i="2"/>
  <c r="CJ23" i="2"/>
  <c r="DL24" i="2"/>
  <c r="CZ26" i="2"/>
  <c r="AU27" i="2"/>
  <c r="DS27" i="2"/>
  <c r="EI27" i="2"/>
  <c r="CY16" i="2"/>
  <c r="DH18" i="2"/>
  <c r="BB20" i="2"/>
  <c r="CD21" i="2"/>
  <c r="AW22" i="2"/>
  <c r="CM22" i="2"/>
  <c r="ED22" i="2"/>
  <c r="BR23" i="2"/>
  <c r="CY23" i="2"/>
  <c r="EE23" i="2"/>
  <c r="BO24" i="2"/>
  <c r="CU24" i="2"/>
  <c r="EA24" i="2"/>
  <c r="BK25" i="2"/>
  <c r="CQ25" i="2"/>
  <c r="DW25" i="2"/>
  <c r="BG26" i="2"/>
  <c r="CM26" i="2"/>
  <c r="DH26" i="2"/>
  <c r="EB26" i="2"/>
  <c r="BC27" i="2"/>
  <c r="BX27" i="2"/>
  <c r="CL27" i="2"/>
  <c r="CW27" i="2"/>
  <c r="DF27" i="2"/>
  <c r="DN27" i="2"/>
  <c r="DV27" i="2"/>
  <c r="ED27" i="2"/>
  <c r="AN24" i="2"/>
  <c r="BP24" i="2"/>
  <c r="DX25" i="2"/>
  <c r="CN26" i="2"/>
  <c r="BD27" i="2"/>
  <c r="CX27" i="2"/>
  <c r="DW27" i="2"/>
  <c r="DX27" i="2"/>
  <c r="BM52" i="2"/>
  <c r="DI22" i="2"/>
  <c r="DK24" i="2"/>
  <c r="AQ26" i="2"/>
  <c r="AR27" i="2"/>
  <c r="CQ27" i="2"/>
  <c r="DZ27" i="2"/>
  <c r="DZ17" i="2"/>
  <c r="DJ22" i="2"/>
  <c r="CF24" i="2"/>
  <c r="BX26" i="2"/>
  <c r="DT26" i="2"/>
  <c r="DK27" i="2"/>
  <c r="EA27" i="2"/>
  <c r="DE16" i="2"/>
  <c r="DL18" i="2"/>
  <c r="BD20" i="2"/>
  <c r="CF21" i="2"/>
  <c r="AX22" i="2"/>
  <c r="CN22" i="2"/>
  <c r="EE22" i="2"/>
  <c r="BS23" i="2"/>
  <c r="EF23" i="2"/>
  <c r="EB24" i="2"/>
  <c r="CR25" i="2"/>
  <c r="DK26" i="2"/>
  <c r="DG27" i="2"/>
  <c r="CI19" i="2"/>
  <c r="DO23" i="2"/>
  <c r="BW26" i="2"/>
  <c r="DR27" i="2"/>
  <c r="BT22" i="2"/>
  <c r="AV25" i="2"/>
  <c r="BP27" i="2"/>
  <c r="CD47" i="2"/>
  <c r="BO17" i="2"/>
  <c r="AX19" i="2"/>
  <c r="CH20" i="2"/>
  <c r="CY21" i="2"/>
  <c r="BG22" i="2"/>
  <c r="CX22" i="2"/>
  <c r="AQ23" i="2"/>
  <c r="CA23" i="2"/>
  <c r="DG23" i="2"/>
  <c r="AQ24" i="2"/>
  <c r="BW24" i="2"/>
  <c r="DC24" i="2"/>
  <c r="EI24" i="2"/>
  <c r="BS25" i="2"/>
  <c r="CY25" i="2"/>
  <c r="EE25" i="2"/>
  <c r="BO26" i="2"/>
  <c r="CR26" i="2"/>
  <c r="DL26" i="2"/>
  <c r="EI26" i="2"/>
  <c r="BH27" i="2"/>
  <c r="CB27" i="2"/>
  <c r="CO27" i="2"/>
  <c r="CY27" i="2"/>
  <c r="DH27" i="2"/>
  <c r="DP27" i="2"/>
  <c r="AN18" i="2"/>
  <c r="AZ15" i="2"/>
  <c r="AZ23" i="2"/>
  <c r="AU25" i="2"/>
  <c r="BL27" i="2"/>
  <c r="AN20" i="2"/>
  <c r="CK19" i="2"/>
  <c r="DP23" i="2"/>
  <c r="AR26" i="2"/>
  <c r="CH27" i="2"/>
  <c r="AN21" i="2"/>
  <c r="DE47" i="2"/>
  <c r="BU17" i="2"/>
  <c r="AZ19" i="2"/>
  <c r="CJ20" i="2"/>
  <c r="CZ21" i="2"/>
  <c r="BH22" i="2"/>
  <c r="CZ22" i="2"/>
  <c r="AR23" i="2"/>
  <c r="CB23" i="2"/>
  <c r="DH23" i="2"/>
  <c r="AR24" i="2"/>
  <c r="BX24" i="2"/>
  <c r="DD24" i="2"/>
  <c r="EJ24" i="2"/>
  <c r="BT25" i="2"/>
  <c r="CZ25" i="2"/>
  <c r="EF25" i="2"/>
  <c r="BP26" i="2"/>
  <c r="CU26" i="2"/>
  <c r="DP26" i="2"/>
  <c r="EJ26" i="2"/>
  <c r="BK27" i="2"/>
  <c r="CF27" i="2"/>
  <c r="CP27" i="2"/>
  <c r="CZ27" i="2"/>
  <c r="DI27" i="2"/>
  <c r="DQ27" i="2"/>
  <c r="DY27" i="2"/>
  <c r="EG27" i="2"/>
  <c r="DN20" i="2"/>
  <c r="CI23" i="2"/>
  <c r="DG25" i="2"/>
  <c r="CG27" i="2"/>
  <c r="CK52" i="2"/>
  <c r="BA23" i="2"/>
  <c r="CB25" i="2"/>
  <c r="DC27" i="2"/>
  <c r="J16" i="2"/>
  <c r="Z16" i="2" s="1"/>
  <c r="I15" i="2"/>
  <c r="Y15" i="2" s="1"/>
  <c r="I47" i="5"/>
  <c r="F47" i="5"/>
  <c r="J39" i="2"/>
  <c r="Z39" i="2" s="1"/>
  <c r="Z27" i="2"/>
  <c r="Z26" i="2"/>
  <c r="Z24" i="2"/>
  <c r="Z23" i="2"/>
  <c r="Z22" i="2"/>
  <c r="Z21" i="2"/>
  <c r="Z20" i="2"/>
  <c r="Z19" i="2"/>
  <c r="Z18" i="2"/>
  <c r="Z17" i="2"/>
  <c r="AE36" i="2"/>
  <c r="AW11" i="2"/>
  <c r="BI11" i="2"/>
  <c r="BQ11" i="2"/>
  <c r="BY11" i="2"/>
  <c r="CG11" i="2"/>
  <c r="CO11" i="2"/>
  <c r="CW11" i="2"/>
  <c r="DE11" i="2"/>
  <c r="DM11" i="2"/>
  <c r="DU11" i="2"/>
  <c r="EC11" i="2"/>
  <c r="AN11" i="2"/>
  <c r="BN11" i="2"/>
  <c r="AX11" i="2"/>
  <c r="BJ11" i="2"/>
  <c r="BR11" i="2"/>
  <c r="BZ11" i="2"/>
  <c r="CH11" i="2"/>
  <c r="CP11" i="2"/>
  <c r="CX11" i="2"/>
  <c r="DF11" i="2"/>
  <c r="DN11" i="2"/>
  <c r="DV11" i="2"/>
  <c r="ED11" i="2"/>
  <c r="AP11" i="2"/>
  <c r="BV11" i="2"/>
  <c r="CL11" i="2"/>
  <c r="DB11" i="2"/>
  <c r="DZ11" i="2"/>
  <c r="AY11" i="2"/>
  <c r="BK11" i="2"/>
  <c r="BS11" i="2"/>
  <c r="CA11" i="2"/>
  <c r="CI11" i="2"/>
  <c r="CQ11" i="2"/>
  <c r="CY11" i="2"/>
  <c r="DG11" i="2"/>
  <c r="DO11" i="2"/>
  <c r="DW11" i="2"/>
  <c r="EE11" i="2"/>
  <c r="BF11" i="2"/>
  <c r="CD11" i="2"/>
  <c r="CT11" i="2"/>
  <c r="DR11" i="2"/>
  <c r="BD11" i="2"/>
  <c r="BL11" i="2"/>
  <c r="BT11" i="2"/>
  <c r="CB11" i="2"/>
  <c r="CJ11" i="2"/>
  <c r="CR11" i="2"/>
  <c r="CZ11" i="2"/>
  <c r="DH11" i="2"/>
  <c r="DP11" i="2"/>
  <c r="DX11" i="2"/>
  <c r="EF11" i="2"/>
  <c r="EH11" i="2"/>
  <c r="AO11" i="2"/>
  <c r="BE11" i="2"/>
  <c r="BM11" i="2"/>
  <c r="BU11" i="2"/>
  <c r="CC11" i="2"/>
  <c r="CK11" i="2"/>
  <c r="CS11" i="2"/>
  <c r="DA11" i="2"/>
  <c r="DI11" i="2"/>
  <c r="DQ11" i="2"/>
  <c r="DY11" i="2"/>
  <c r="EG11" i="2"/>
  <c r="DJ11" i="2"/>
  <c r="AQ11" i="2"/>
  <c r="BG11" i="2"/>
  <c r="BO11" i="2"/>
  <c r="BW11" i="2"/>
  <c r="CE11" i="2"/>
  <c r="CM11" i="2"/>
  <c r="CU11" i="2"/>
  <c r="DC11" i="2"/>
  <c r="DK11" i="2"/>
  <c r="DS11" i="2"/>
  <c r="EA11" i="2"/>
  <c r="EI11" i="2"/>
  <c r="AV11" i="2"/>
  <c r="BH11" i="2"/>
  <c r="BP11" i="2"/>
  <c r="BX11" i="2"/>
  <c r="CF11" i="2"/>
  <c r="CN11" i="2"/>
  <c r="CV11" i="2"/>
  <c r="DD11" i="2"/>
  <c r="DL11" i="2"/>
  <c r="DT11" i="2"/>
  <c r="EB11" i="2"/>
  <c r="EJ11" i="2"/>
  <c r="BC11" i="2"/>
  <c r="AS11" i="2"/>
  <c r="AR11" i="2"/>
  <c r="BB11" i="2"/>
  <c r="AU11" i="2"/>
  <c r="BA11" i="2"/>
  <c r="AT11" i="2"/>
  <c r="AZ11" i="2"/>
  <c r="F54" i="2"/>
  <c r="Z12" i="2"/>
  <c r="Z11" i="2"/>
  <c r="AN90" i="2" s="1"/>
  <c r="Z10" i="2"/>
  <c r="V10" i="2"/>
  <c r="P47" i="2" l="1"/>
  <c r="P101" i="2"/>
  <c r="P45" i="2"/>
  <c r="P25" i="2"/>
  <c r="P72" i="2"/>
  <c r="P90" i="2"/>
  <c r="P71" i="2"/>
  <c r="P41" i="2"/>
  <c r="P69" i="2"/>
  <c r="P66" i="2"/>
  <c r="P46" i="2"/>
  <c r="P24" i="2"/>
  <c r="P23" i="2"/>
  <c r="P67" i="2"/>
  <c r="P96" i="2"/>
  <c r="P93" i="2"/>
  <c r="P98" i="2"/>
  <c r="P44" i="2"/>
  <c r="BD14" i="2"/>
  <c r="P16" i="2"/>
  <c r="P21" i="2"/>
  <c r="P49" i="2"/>
  <c r="P26" i="2"/>
  <c r="P17" i="2"/>
  <c r="P89" i="2"/>
  <c r="P91" i="2"/>
  <c r="P74" i="2"/>
  <c r="P40" i="2"/>
  <c r="P18" i="2"/>
  <c r="P42" i="2"/>
  <c r="P92" i="2"/>
  <c r="P22" i="2"/>
  <c r="P51" i="2"/>
  <c r="P48" i="2"/>
  <c r="AV14" i="2"/>
  <c r="P50" i="2"/>
  <c r="P14" i="2"/>
  <c r="P15" i="2"/>
  <c r="P99" i="2"/>
  <c r="P100" i="2"/>
  <c r="P65" i="2"/>
  <c r="P27" i="2"/>
  <c r="P39" i="2"/>
  <c r="P73" i="2"/>
  <c r="P97" i="2"/>
  <c r="P95" i="2"/>
  <c r="P64" i="2"/>
  <c r="P68" i="2"/>
  <c r="P20" i="2"/>
  <c r="P52" i="2"/>
  <c r="P19" i="2"/>
  <c r="P43" i="2"/>
  <c r="P75" i="2"/>
  <c r="P76" i="2"/>
  <c r="P102" i="2"/>
  <c r="P77" i="2"/>
  <c r="P94" i="2"/>
  <c r="P70" i="2"/>
  <c r="DI106" i="2"/>
  <c r="F17" i="5"/>
  <c r="F16" i="5"/>
  <c r="BP106" i="2"/>
  <c r="DD81" i="2"/>
  <c r="CG81" i="2"/>
  <c r="DZ106" i="2"/>
  <c r="DT81" i="2"/>
  <c r="BH81" i="2"/>
  <c r="BO106" i="2"/>
  <c r="EB81" i="2"/>
  <c r="EG106" i="2"/>
  <c r="CT106" i="2"/>
  <c r="CL106" i="2"/>
  <c r="DL81" i="2"/>
  <c r="DY106" i="2"/>
  <c r="CO81" i="2"/>
  <c r="EH81" i="2"/>
  <c r="DY81" i="2"/>
  <c r="DB81" i="2"/>
  <c r="EA106" i="2"/>
  <c r="DB106" i="2"/>
  <c r="DK106" i="2"/>
  <c r="BP81" i="2"/>
  <c r="BY81" i="2"/>
  <c r="DU81" i="2"/>
  <c r="CE81" i="2"/>
  <c r="EJ81" i="2"/>
  <c r="DQ106" i="2"/>
  <c r="CU106" i="2"/>
  <c r="ED81" i="2"/>
  <c r="CD106" i="2"/>
  <c r="EC81" i="2"/>
  <c r="CC106" i="2"/>
  <c r="DS106" i="2"/>
  <c r="DX81" i="2"/>
  <c r="BL81" i="2"/>
  <c r="DE106" i="2"/>
  <c r="CN81" i="2"/>
  <c r="CV81" i="2"/>
  <c r="BQ81" i="2"/>
  <c r="CK106" i="2"/>
  <c r="EI81" i="2"/>
  <c r="CW81" i="2"/>
  <c r="BW106" i="2"/>
  <c r="BX81" i="2"/>
  <c r="CJ106" i="2"/>
  <c r="BU81" i="2"/>
  <c r="DJ106" i="2"/>
  <c r="DO81" i="2"/>
  <c r="EI106" i="2"/>
  <c r="DA81" i="2"/>
  <c r="CS81" i="2"/>
  <c r="DA106" i="2"/>
  <c r="BV81" i="2"/>
  <c r="BN106" i="2"/>
  <c r="BM106" i="2"/>
  <c r="CN106" i="2"/>
  <c r="EG81" i="2"/>
  <c r="BN81" i="2"/>
  <c r="DR106" i="2"/>
  <c r="DN81" i="2"/>
  <c r="BI81" i="2"/>
  <c r="DL106" i="2"/>
  <c r="DI81" i="2"/>
  <c r="DR81" i="2"/>
  <c r="CM106" i="2"/>
  <c r="CA106" i="2"/>
  <c r="DC81" i="2"/>
  <c r="CE106" i="2"/>
  <c r="CV106" i="2"/>
  <c r="DF106" i="2"/>
  <c r="BM81" i="2"/>
  <c r="CU81" i="2"/>
  <c r="CJ81" i="2"/>
  <c r="BZ81" i="2"/>
  <c r="CS106" i="2"/>
  <c r="CD81" i="2"/>
  <c r="AN65" i="2"/>
  <c r="DM81" i="2"/>
  <c r="DK81" i="2"/>
  <c r="DV81" i="2"/>
  <c r="BR81" i="2"/>
  <c r="DF81" i="2"/>
  <c r="BX106" i="2"/>
  <c r="CK81" i="2"/>
  <c r="CZ106" i="2"/>
  <c r="CB81" i="2"/>
  <c r="EE106" i="2"/>
  <c r="BS106" i="2"/>
  <c r="DG81" i="2"/>
  <c r="CX106" i="2"/>
  <c r="CW106" i="2"/>
  <c r="AN91" i="2"/>
  <c r="DH106" i="2"/>
  <c r="AN66" i="2"/>
  <c r="AN89" i="2"/>
  <c r="CH81" i="2"/>
  <c r="CF106" i="2"/>
  <c r="DS81" i="2"/>
  <c r="CR106" i="2"/>
  <c r="EF81" i="2"/>
  <c r="BT81" i="2"/>
  <c r="DW106" i="2"/>
  <c r="BK106" i="2"/>
  <c r="CY81" i="2"/>
  <c r="CP106" i="2"/>
  <c r="CO106" i="2"/>
  <c r="AN93" i="2"/>
  <c r="AN92" i="2"/>
  <c r="CL81" i="2"/>
  <c r="BO81" i="2"/>
  <c r="DO106" i="2"/>
  <c r="CQ81" i="2"/>
  <c r="CH106" i="2"/>
  <c r="CG106" i="2"/>
  <c r="AN68" i="2"/>
  <c r="EH106" i="2"/>
  <c r="DZ81" i="2"/>
  <c r="BU106" i="2"/>
  <c r="CP81" i="2"/>
  <c r="CB106" i="2"/>
  <c r="DP81" i="2"/>
  <c r="DG106" i="2"/>
  <c r="CI81" i="2"/>
  <c r="BZ106" i="2"/>
  <c r="BY106" i="2"/>
  <c r="CF81" i="2"/>
  <c r="DJ81" i="2"/>
  <c r="CM81" i="2"/>
  <c r="EJ106" i="2"/>
  <c r="EA81" i="2"/>
  <c r="DC106" i="2"/>
  <c r="EF106" i="2"/>
  <c r="BT106" i="2"/>
  <c r="DH81" i="2"/>
  <c r="CY106" i="2"/>
  <c r="CA81" i="2"/>
  <c r="ED106" i="2"/>
  <c r="BR106" i="2"/>
  <c r="EC106" i="2"/>
  <c r="BQ106" i="2"/>
  <c r="AN67" i="2"/>
  <c r="AN64" i="2"/>
  <c r="BW81" i="2"/>
  <c r="BV106" i="2"/>
  <c r="CX81" i="2"/>
  <c r="CC81" i="2"/>
  <c r="DT106" i="2"/>
  <c r="DQ81" i="2"/>
  <c r="DX106" i="2"/>
  <c r="BL106" i="2"/>
  <c r="CZ81" i="2"/>
  <c r="CQ106" i="2"/>
  <c r="EE81" i="2"/>
  <c r="BS81" i="2"/>
  <c r="DV106" i="2"/>
  <c r="BJ106" i="2"/>
  <c r="DU106" i="2"/>
  <c r="BI106" i="2"/>
  <c r="CT81" i="2"/>
  <c r="EB106" i="2"/>
  <c r="DD106" i="2"/>
  <c r="DE81" i="2"/>
  <c r="DP106" i="2"/>
  <c r="CR81" i="2"/>
  <c r="CI106" i="2"/>
  <c r="DW81" i="2"/>
  <c r="BK81" i="2"/>
  <c r="DN106" i="2"/>
  <c r="BJ81" i="2"/>
  <c r="DM106" i="2"/>
  <c r="BH106" i="2"/>
  <c r="AN40" i="2"/>
  <c r="AN16" i="2"/>
  <c r="AN14" i="2"/>
  <c r="AN15" i="2"/>
  <c r="AN42" i="2"/>
  <c r="AN17" i="2"/>
  <c r="AN39" i="2"/>
  <c r="AG106" i="2"/>
  <c r="AG81" i="2"/>
  <c r="AG56" i="2"/>
  <c r="AG31" i="2"/>
  <c r="AI97" i="2"/>
  <c r="AI92" i="2"/>
  <c r="AI69" i="2"/>
  <c r="AI48" i="2"/>
  <c r="AI43" i="2"/>
  <c r="AI39" i="2"/>
  <c r="AI98" i="2"/>
  <c r="AI70" i="2"/>
  <c r="AI49" i="2"/>
  <c r="AI44" i="2"/>
  <c r="AI93" i="2"/>
  <c r="AI71" i="2"/>
  <c r="AG79" i="2"/>
  <c r="AI74" i="2"/>
  <c r="AI99" i="2"/>
  <c r="AI94" i="2"/>
  <c r="AI72" i="2"/>
  <c r="AI64" i="2"/>
  <c r="AI50" i="2"/>
  <c r="AI45" i="2"/>
  <c r="AI100" i="2"/>
  <c r="AI89" i="2"/>
  <c r="AI73" i="2"/>
  <c r="AI65" i="2"/>
  <c r="AI51" i="2"/>
  <c r="AI41" i="2"/>
  <c r="AG104" i="2"/>
  <c r="AI101" i="2"/>
  <c r="AI96" i="2"/>
  <c r="AI77" i="2"/>
  <c r="AI75" i="2"/>
  <c r="AI67" i="2"/>
  <c r="AI52" i="2"/>
  <c r="AI47" i="2"/>
  <c r="AI42" i="2"/>
  <c r="AI102" i="2"/>
  <c r="AI91" i="2"/>
  <c r="AI76" i="2"/>
  <c r="AI68" i="2"/>
  <c r="AI40" i="2"/>
  <c r="AI95" i="2"/>
  <c r="AI90" i="2"/>
  <c r="AI46" i="2"/>
  <c r="AG54" i="2"/>
  <c r="AI66" i="2"/>
  <c r="AE101" i="2"/>
  <c r="AE96" i="2"/>
  <c r="AE77" i="2"/>
  <c r="AE75" i="2"/>
  <c r="AE67" i="2"/>
  <c r="AE52" i="2"/>
  <c r="AE47" i="2"/>
  <c r="AE42" i="2"/>
  <c r="AE69" i="2"/>
  <c r="AE99" i="2"/>
  <c r="AE102" i="2"/>
  <c r="AE91" i="2"/>
  <c r="AE76" i="2"/>
  <c r="AE68" i="2"/>
  <c r="AE39" i="2"/>
  <c r="AE94" i="2"/>
  <c r="AE97" i="2"/>
  <c r="AE92" i="2"/>
  <c r="AE98" i="2"/>
  <c r="AE70" i="2"/>
  <c r="AE49" i="2"/>
  <c r="AE93" i="2"/>
  <c r="Y80" i="2"/>
  <c r="AE71" i="2"/>
  <c r="Y55" i="2"/>
  <c r="AE44" i="2"/>
  <c r="AE40" i="2"/>
  <c r="AE100" i="2"/>
  <c r="AE89" i="2"/>
  <c r="AE73" i="2"/>
  <c r="AE65" i="2"/>
  <c r="AE51" i="2"/>
  <c r="AE41" i="2"/>
  <c r="AE95" i="2"/>
  <c r="AE90" i="2"/>
  <c r="AE74" i="2"/>
  <c r="AE66" i="2"/>
  <c r="AE46" i="2"/>
  <c r="AE48" i="2"/>
  <c r="AE43" i="2"/>
  <c r="Y105" i="2"/>
  <c r="AE72" i="2"/>
  <c r="AE64" i="2"/>
  <c r="AE45" i="2"/>
  <c r="AE50" i="2"/>
  <c r="J64" i="2"/>
  <c r="Z64" i="2" s="1"/>
  <c r="AE61" i="2"/>
  <c r="L18" i="5"/>
  <c r="AI22" i="2"/>
  <c r="AI16" i="2"/>
  <c r="AI19" i="2"/>
  <c r="AI15" i="2"/>
  <c r="AI23" i="2"/>
  <c r="AI24" i="2"/>
  <c r="AI20" i="2"/>
  <c r="AI21" i="2"/>
  <c r="AI17" i="2"/>
  <c r="AI25" i="2"/>
  <c r="AI18" i="2"/>
  <c r="AI26" i="2"/>
  <c r="AI27" i="2"/>
  <c r="AI14" i="2"/>
  <c r="AE16" i="2"/>
  <c r="AE24" i="2"/>
  <c r="AE18" i="2"/>
  <c r="AE26" i="2"/>
  <c r="AE21" i="2"/>
  <c r="AE22" i="2"/>
  <c r="AE23" i="2"/>
  <c r="AE17" i="2"/>
  <c r="AE25" i="2"/>
  <c r="AE14" i="2"/>
  <c r="Y30" i="2"/>
  <c r="AE19" i="2"/>
  <c r="AE27" i="2"/>
  <c r="AE20" i="2"/>
  <c r="AE15" i="2"/>
  <c r="AO37" i="2"/>
  <c r="AW37" i="2"/>
  <c r="BE37" i="2"/>
  <c r="BM37" i="2"/>
  <c r="BU37" i="2"/>
  <c r="CC37" i="2"/>
  <c r="CK37" i="2"/>
  <c r="CS37" i="2"/>
  <c r="DA37" i="2"/>
  <c r="DI37" i="2"/>
  <c r="DQ37" i="2"/>
  <c r="DY37" i="2"/>
  <c r="EG37" i="2"/>
  <c r="DL37" i="2"/>
  <c r="EJ37" i="2"/>
  <c r="BI37" i="2"/>
  <c r="CO37" i="2"/>
  <c r="DU37" i="2"/>
  <c r="CH37" i="2"/>
  <c r="DV37" i="2"/>
  <c r="AV37" i="2"/>
  <c r="CR37" i="2"/>
  <c r="AP37" i="2"/>
  <c r="AX37" i="2"/>
  <c r="BF37" i="2"/>
  <c r="BN37" i="2"/>
  <c r="BV37" i="2"/>
  <c r="CD37" i="2"/>
  <c r="CL37" i="2"/>
  <c r="CT37" i="2"/>
  <c r="DB37" i="2"/>
  <c r="DJ37" i="2"/>
  <c r="DR37" i="2"/>
  <c r="DZ37" i="2"/>
  <c r="EH37" i="2"/>
  <c r="AZ37" i="2"/>
  <c r="BP37" i="2"/>
  <c r="CF37" i="2"/>
  <c r="CN37" i="2"/>
  <c r="DT37" i="2"/>
  <c r="BY37" i="2"/>
  <c r="DE37" i="2"/>
  <c r="DN37" i="2"/>
  <c r="BL37" i="2"/>
  <c r="BT37" i="2"/>
  <c r="CJ37" i="2"/>
  <c r="DH37" i="2"/>
  <c r="AQ37" i="2"/>
  <c r="AY37" i="2"/>
  <c r="BG37" i="2"/>
  <c r="BO37" i="2"/>
  <c r="BW37" i="2"/>
  <c r="CE37" i="2"/>
  <c r="CM37" i="2"/>
  <c r="CU37" i="2"/>
  <c r="DC37" i="2"/>
  <c r="DK37" i="2"/>
  <c r="DS37" i="2"/>
  <c r="EA37" i="2"/>
  <c r="EI37" i="2"/>
  <c r="AR37" i="2"/>
  <c r="BX37" i="2"/>
  <c r="CV37" i="2"/>
  <c r="EB37" i="2"/>
  <c r="BQ37" i="2"/>
  <c r="AN37" i="2"/>
  <c r="BB37" i="2"/>
  <c r="BR37" i="2"/>
  <c r="CX37" i="2"/>
  <c r="CZ37" i="2"/>
  <c r="BH37" i="2"/>
  <c r="DD37" i="2"/>
  <c r="BA37" i="2"/>
  <c r="CW37" i="2"/>
  <c r="EC37" i="2"/>
  <c r="CP37" i="2"/>
  <c r="ED37" i="2"/>
  <c r="DP37" i="2"/>
  <c r="AS37" i="2"/>
  <c r="CG37" i="2"/>
  <c r="DM37" i="2"/>
  <c r="AT37" i="2"/>
  <c r="BJ37" i="2"/>
  <c r="BZ37" i="2"/>
  <c r="DF37" i="2"/>
  <c r="DX37" i="2"/>
  <c r="AU37" i="2"/>
  <c r="BC37" i="2"/>
  <c r="BK37" i="2"/>
  <c r="BS37" i="2"/>
  <c r="CA37" i="2"/>
  <c r="CI37" i="2"/>
  <c r="CQ37" i="2"/>
  <c r="CY37" i="2"/>
  <c r="DG37" i="2"/>
  <c r="DO37" i="2"/>
  <c r="DW37" i="2"/>
  <c r="EE37" i="2"/>
  <c r="BD37" i="2"/>
  <c r="CB37" i="2"/>
  <c r="EF37" i="2"/>
  <c r="AG29" i="2"/>
  <c r="EJ56" i="2"/>
  <c r="AS12" i="2"/>
  <c r="BA12" i="2"/>
  <c r="BI12" i="2"/>
  <c r="BQ12" i="2"/>
  <c r="BY12" i="2"/>
  <c r="CG12" i="2"/>
  <c r="CO12" i="2"/>
  <c r="CW12" i="2"/>
  <c r="DE12" i="2"/>
  <c r="DM12" i="2"/>
  <c r="DU12" i="2"/>
  <c r="EC12" i="2"/>
  <c r="AO12" i="2"/>
  <c r="AT12" i="2"/>
  <c r="BZ12" i="2"/>
  <c r="CX12" i="2"/>
  <c r="DN12" i="2"/>
  <c r="ED12" i="2"/>
  <c r="BB12" i="2"/>
  <c r="BJ12" i="2"/>
  <c r="BR12" i="2"/>
  <c r="CH12" i="2"/>
  <c r="CP12" i="2"/>
  <c r="DF12" i="2"/>
  <c r="DV12" i="2"/>
  <c r="AN12" i="2"/>
  <c r="AU12" i="2"/>
  <c r="BC12" i="2"/>
  <c r="BK12" i="2"/>
  <c r="BS12" i="2"/>
  <c r="CA12" i="2"/>
  <c r="CI12" i="2"/>
  <c r="CQ12" i="2"/>
  <c r="CY12" i="2"/>
  <c r="DG12" i="2"/>
  <c r="DO12" i="2"/>
  <c r="DW12" i="2"/>
  <c r="EE12" i="2"/>
  <c r="AV12" i="2"/>
  <c r="BL12" i="2"/>
  <c r="CB12" i="2"/>
  <c r="CJ12" i="2"/>
  <c r="CZ12" i="2"/>
  <c r="DP12" i="2"/>
  <c r="BD12" i="2"/>
  <c r="BT12" i="2"/>
  <c r="CR12" i="2"/>
  <c r="DH12" i="2"/>
  <c r="DX12" i="2"/>
  <c r="EF12" i="2"/>
  <c r="AW12" i="2"/>
  <c r="BE12" i="2"/>
  <c r="BM12" i="2"/>
  <c r="BU12" i="2"/>
  <c r="CC12" i="2"/>
  <c r="CK12" i="2"/>
  <c r="CS12" i="2"/>
  <c r="DA12" i="2"/>
  <c r="DI12" i="2"/>
  <c r="DQ12" i="2"/>
  <c r="DY12" i="2"/>
  <c r="EG12" i="2"/>
  <c r="AP12" i="2"/>
  <c r="AX12" i="2"/>
  <c r="BF12" i="2"/>
  <c r="BN12" i="2"/>
  <c r="BV12" i="2"/>
  <c r="CD12" i="2"/>
  <c r="CL12" i="2"/>
  <c r="CT12" i="2"/>
  <c r="DB12" i="2"/>
  <c r="DJ12" i="2"/>
  <c r="DR12" i="2"/>
  <c r="DZ12" i="2"/>
  <c r="EH12" i="2"/>
  <c r="AQ12" i="2"/>
  <c r="AY12" i="2"/>
  <c r="BG12" i="2"/>
  <c r="BO12" i="2"/>
  <c r="BW12" i="2"/>
  <c r="CE12" i="2"/>
  <c r="CM12" i="2"/>
  <c r="CU12" i="2"/>
  <c r="DC12" i="2"/>
  <c r="DK12" i="2"/>
  <c r="DS12" i="2"/>
  <c r="EA12" i="2"/>
  <c r="EI12" i="2"/>
  <c r="BX12" i="2"/>
  <c r="EJ12" i="2"/>
  <c r="CF12" i="2"/>
  <c r="CN12" i="2"/>
  <c r="DD12" i="2"/>
  <c r="EB12" i="2"/>
  <c r="CV12" i="2"/>
  <c r="AR12" i="2"/>
  <c r="AZ12" i="2"/>
  <c r="DL12" i="2"/>
  <c r="BH12" i="2"/>
  <c r="DT12" i="2"/>
  <c r="BP12" i="2"/>
  <c r="F79" i="2"/>
  <c r="M11" i="5"/>
  <c r="I17" i="5" l="1"/>
  <c r="I16" i="5"/>
  <c r="L19" i="5"/>
  <c r="AF73" i="2"/>
  <c r="AG99" i="2"/>
  <c r="AG27" i="2"/>
  <c r="AF45" i="2"/>
  <c r="AF95" i="2"/>
  <c r="AF23" i="2"/>
  <c r="AG18" i="2"/>
  <c r="AF18" i="2"/>
  <c r="AF41" i="2"/>
  <c r="AG44" i="2"/>
  <c r="AG45" i="2"/>
  <c r="AF66" i="2"/>
  <c r="AF77" i="2"/>
  <c r="AG64" i="2"/>
  <c r="AF27" i="2"/>
  <c r="AF21" i="2"/>
  <c r="AG21" i="2"/>
  <c r="AG43" i="2"/>
  <c r="AG51" i="2"/>
  <c r="AF43" i="2"/>
  <c r="AF102" i="2"/>
  <c r="AF100" i="2"/>
  <c r="AF96" i="2"/>
  <c r="AG98" i="2"/>
  <c r="AF70" i="2"/>
  <c r="AF99" i="2"/>
  <c r="AF15" i="2"/>
  <c r="AF22" i="2"/>
  <c r="AF24" i="2"/>
  <c r="AF48" i="2"/>
  <c r="AF46" i="2"/>
  <c r="AG90" i="2"/>
  <c r="AG102" i="2"/>
  <c r="AF72" i="2"/>
  <c r="AG94" i="2"/>
  <c r="AG74" i="2"/>
  <c r="AG96" i="2"/>
  <c r="AG71" i="2"/>
  <c r="AG26" i="2"/>
  <c r="AG23" i="2"/>
  <c r="AF49" i="2"/>
  <c r="AG41" i="2"/>
  <c r="AF51" i="2"/>
  <c r="AG95" i="2"/>
  <c r="AG70" i="2"/>
  <c r="AG91" i="2"/>
  <c r="AF75" i="2"/>
  <c r="AG65" i="2"/>
  <c r="AF25" i="2"/>
  <c r="AG40" i="2"/>
  <c r="AF101" i="2"/>
  <c r="AG93" i="2"/>
  <c r="AG19" i="2"/>
  <c r="AG17" i="2"/>
  <c r="AF26" i="2"/>
  <c r="AG39" i="2"/>
  <c r="AG50" i="2"/>
  <c r="AF44" i="2"/>
  <c r="AG48" i="2"/>
  <c r="AG68" i="2"/>
  <c r="AF76" i="2"/>
  <c r="AG69" i="2"/>
  <c r="AG100" i="2"/>
  <c r="AG101" i="2"/>
  <c r="AG24" i="2"/>
  <c r="AF47" i="2"/>
  <c r="AG72" i="2"/>
  <c r="AG76" i="2"/>
  <c r="AF20" i="2"/>
  <c r="AF19" i="2"/>
  <c r="AG16" i="2"/>
  <c r="AG20" i="2"/>
  <c r="AG52" i="2"/>
  <c r="AG42" i="2"/>
  <c r="AF71" i="2"/>
  <c r="AG77" i="2"/>
  <c r="AG75" i="2"/>
  <c r="AF74" i="2"/>
  <c r="AG73" i="2"/>
  <c r="AG97" i="2"/>
  <c r="AH14" i="2"/>
  <c r="AF50" i="2"/>
  <c r="AG67" i="2"/>
  <c r="AG89" i="2"/>
  <c r="AG22" i="2"/>
  <c r="AF52" i="2"/>
  <c r="AG46" i="2"/>
  <c r="AG49" i="2"/>
  <c r="AG47" i="2"/>
  <c r="AF98" i="2"/>
  <c r="AF69" i="2"/>
  <c r="AF94" i="2"/>
  <c r="AG92" i="2"/>
  <c r="AF97" i="2"/>
  <c r="AH102" i="2"/>
  <c r="AH91" i="2"/>
  <c r="AH76" i="2"/>
  <c r="AH68" i="2"/>
  <c r="AH49" i="2"/>
  <c r="AH97" i="2"/>
  <c r="AH92" i="2"/>
  <c r="AH69" i="2"/>
  <c r="AH48" i="2"/>
  <c r="AH43" i="2"/>
  <c r="AH39" i="2"/>
  <c r="AH73" i="2"/>
  <c r="AH98" i="2"/>
  <c r="AH70" i="2"/>
  <c r="AH93" i="2"/>
  <c r="AH71" i="2"/>
  <c r="AH44" i="2"/>
  <c r="AH40" i="2"/>
  <c r="AH100" i="2"/>
  <c r="AH99" i="2"/>
  <c r="AH94" i="2"/>
  <c r="AH72" i="2"/>
  <c r="AH64" i="2"/>
  <c r="AH50" i="2"/>
  <c r="AH45" i="2"/>
  <c r="AH95" i="2"/>
  <c r="AH90" i="2"/>
  <c r="AH74" i="2"/>
  <c r="AH66" i="2"/>
  <c r="AH46" i="2"/>
  <c r="AH89" i="2"/>
  <c r="AH101" i="2"/>
  <c r="AH96" i="2"/>
  <c r="AH77" i="2"/>
  <c r="AH75" i="2"/>
  <c r="AH67" i="2"/>
  <c r="AH52" i="2"/>
  <c r="AH47" i="2"/>
  <c r="AH42" i="2"/>
  <c r="AH51" i="2"/>
  <c r="AH65" i="2"/>
  <c r="AH41" i="2"/>
  <c r="L46" i="5"/>
  <c r="L48" i="5" s="1"/>
  <c r="F18" i="5"/>
  <c r="F19" i="5" s="1"/>
  <c r="I46" i="5"/>
  <c r="I48" i="5" s="1"/>
  <c r="F46" i="5"/>
  <c r="F48" i="5" s="1"/>
  <c r="P79" i="2"/>
  <c r="P104" i="2"/>
  <c r="P54" i="2"/>
  <c r="F69" i="5" s="1"/>
  <c r="AH22" i="2"/>
  <c r="AH15" i="2"/>
  <c r="AH23" i="2"/>
  <c r="AH16" i="2"/>
  <c r="AH24" i="2"/>
  <c r="AH17" i="2"/>
  <c r="AH25" i="2"/>
  <c r="AH18" i="2"/>
  <c r="AH26" i="2"/>
  <c r="AH19" i="2"/>
  <c r="AH27" i="2"/>
  <c r="AH20" i="2"/>
  <c r="AH21" i="2"/>
  <c r="L69" i="5" l="1"/>
  <c r="I69" i="5"/>
  <c r="I52" i="5"/>
  <c r="I53" i="5" s="1"/>
  <c r="F52" i="5"/>
  <c r="F53" i="5" s="1"/>
  <c r="I18" i="5"/>
  <c r="I19" i="5" s="1"/>
  <c r="L52" i="5"/>
  <c r="L53" i="5" s="1"/>
  <c r="T32" i="1" l="1"/>
  <c r="U32" i="1"/>
  <c r="V32" i="1" s="1"/>
  <c r="T33" i="1"/>
  <c r="U33" i="1"/>
  <c r="V33" i="1" s="1"/>
  <c r="T34" i="1"/>
  <c r="U34" i="1"/>
  <c r="V34" i="1" s="1"/>
  <c r="T35" i="1"/>
  <c r="U35" i="1"/>
  <c r="V35" i="1" s="1"/>
  <c r="T36" i="1"/>
  <c r="U36" i="1"/>
  <c r="V36" i="1" s="1"/>
  <c r="T31" i="1"/>
  <c r="U31" i="1"/>
  <c r="V31" i="1" s="1"/>
  <c r="T30" i="1"/>
  <c r="O29" i="2"/>
  <c r="N29" i="2"/>
  <c r="M29" i="2"/>
  <c r="R37" i="1"/>
  <c r="Y35" i="1" s="1"/>
  <c r="R38" i="1"/>
  <c r="Y36" i="1" s="1"/>
  <c r="R39" i="1"/>
  <c r="Y37" i="1" s="1"/>
  <c r="R40" i="1"/>
  <c r="Y38" i="1" s="1"/>
  <c r="R31" i="1"/>
  <c r="Y31" i="1" s="1"/>
  <c r="R32" i="1"/>
  <c r="Y32" i="1" s="1"/>
  <c r="R33" i="1"/>
  <c r="Y33" i="1" s="1"/>
  <c r="R34" i="1"/>
  <c r="R35" i="1"/>
  <c r="R36" i="1"/>
  <c r="Y34" i="1" s="1"/>
  <c r="X14" i="2"/>
  <c r="I28" i="7"/>
  <c r="R30" i="1"/>
  <c r="Y30" i="1" s="1"/>
  <c r="U39" i="2" l="1"/>
  <c r="U89" i="2"/>
  <c r="U64" i="2"/>
  <c r="J66" i="2"/>
  <c r="Z66" i="2" s="1"/>
  <c r="I67" i="2"/>
  <c r="Y67" i="2" s="1"/>
  <c r="I92" i="2"/>
  <c r="Y92" i="2" s="1"/>
  <c r="I90" i="2"/>
  <c r="Y90" i="2" s="1"/>
  <c r="AF90" i="2" s="1"/>
  <c r="I65" i="2"/>
  <c r="Y65" i="2" s="1"/>
  <c r="AF65" i="2" s="1"/>
  <c r="I93" i="2"/>
  <c r="Y93" i="2" s="1"/>
  <c r="I91" i="2"/>
  <c r="Y91" i="2" s="1"/>
  <c r="I68" i="2"/>
  <c r="Y68" i="2" s="1"/>
  <c r="I40" i="2"/>
  <c r="Y40" i="2" s="1"/>
  <c r="I42" i="2"/>
  <c r="Y42" i="2" s="1"/>
  <c r="I89" i="2"/>
  <c r="Y89" i="2" s="1"/>
  <c r="I17" i="2"/>
  <c r="Y17" i="2" s="1"/>
  <c r="I64" i="2"/>
  <c r="Y64" i="2" s="1"/>
  <c r="I16" i="2"/>
  <c r="Y16" i="2" s="1"/>
  <c r="J15" i="2"/>
  <c r="Z15" i="2" s="1"/>
  <c r="I39" i="2"/>
  <c r="D47" i="5"/>
  <c r="X33" i="2"/>
  <c r="H89" i="2"/>
  <c r="H39" i="2"/>
  <c r="H64" i="2"/>
  <c r="U95" i="2"/>
  <c r="U94" i="2"/>
  <c r="U50" i="2"/>
  <c r="U49" i="2"/>
  <c r="U51" i="2"/>
  <c r="U99" i="2"/>
  <c r="U97" i="2"/>
  <c r="U96" i="2"/>
  <c r="U52" i="2"/>
  <c r="U40" i="2"/>
  <c r="U101" i="2"/>
  <c r="U100" i="2"/>
  <c r="U42" i="2"/>
  <c r="U65" i="2"/>
  <c r="U47" i="2"/>
  <c r="U102" i="2"/>
  <c r="U43" i="2"/>
  <c r="U67" i="2"/>
  <c r="U48" i="2"/>
  <c r="U44" i="2"/>
  <c r="U68" i="2"/>
  <c r="U91" i="2"/>
  <c r="U90" i="2"/>
  <c r="U46" i="2"/>
  <c r="U45" i="2"/>
  <c r="U69" i="2"/>
  <c r="U93" i="2"/>
  <c r="U92" i="2"/>
  <c r="U77" i="2"/>
  <c r="U76" i="2"/>
  <c r="U75" i="2"/>
  <c r="U74" i="2"/>
  <c r="U73" i="2"/>
  <c r="U72" i="2"/>
  <c r="U71" i="2"/>
  <c r="U70" i="2"/>
  <c r="U66" i="2"/>
  <c r="U98" i="2"/>
  <c r="U41" i="2"/>
  <c r="H94" i="2"/>
  <c r="H102" i="2"/>
  <c r="H95" i="2"/>
  <c r="H96" i="2"/>
  <c r="H97" i="2"/>
  <c r="H100" i="2"/>
  <c r="H101" i="2"/>
  <c r="H90" i="2"/>
  <c r="H98" i="2"/>
  <c r="H93" i="2"/>
  <c r="H91" i="2"/>
  <c r="H99" i="2"/>
  <c r="H92" i="2"/>
  <c r="H70" i="2"/>
  <c r="H48" i="2"/>
  <c r="H40" i="2"/>
  <c r="H41" i="2"/>
  <c r="H77" i="2"/>
  <c r="H69" i="2"/>
  <c r="H47" i="2"/>
  <c r="H76" i="2"/>
  <c r="H68" i="2"/>
  <c r="H46" i="2"/>
  <c r="H49" i="2"/>
  <c r="H75" i="2"/>
  <c r="H67" i="2"/>
  <c r="H45" i="2"/>
  <c r="H74" i="2"/>
  <c r="H66" i="2"/>
  <c r="H52" i="2"/>
  <c r="H44" i="2"/>
  <c r="H50" i="2"/>
  <c r="H73" i="2"/>
  <c r="H65" i="2"/>
  <c r="H51" i="2"/>
  <c r="H43" i="2"/>
  <c r="H72" i="2"/>
  <c r="H42" i="2"/>
  <c r="H71" i="2"/>
  <c r="H23" i="2"/>
  <c r="H19" i="2"/>
  <c r="H15" i="2"/>
  <c r="H25" i="2"/>
  <c r="H27" i="2"/>
  <c r="H22" i="2"/>
  <c r="H18" i="2"/>
  <c r="H26" i="2"/>
  <c r="H21" i="2"/>
  <c r="H17" i="2"/>
  <c r="H24" i="2"/>
  <c r="H20" i="2"/>
  <c r="H16" i="2"/>
  <c r="AE11" i="2"/>
  <c r="V11" i="2"/>
  <c r="V12" i="2"/>
  <c r="X12" i="2"/>
  <c r="Z25" i="2"/>
  <c r="AG25" i="2" s="1"/>
  <c r="U15" i="2"/>
  <c r="X11" i="2"/>
  <c r="H14" i="2"/>
  <c r="J14" i="2"/>
  <c r="U25" i="2"/>
  <c r="U14" i="2"/>
  <c r="U17" i="2"/>
  <c r="U27" i="2"/>
  <c r="U23" i="2"/>
  <c r="U18" i="2"/>
  <c r="U26" i="2"/>
  <c r="U19" i="2"/>
  <c r="U22" i="2"/>
  <c r="U16" i="2"/>
  <c r="U20" i="2"/>
  <c r="U21" i="2"/>
  <c r="U24" i="2"/>
  <c r="M10" i="5"/>
  <c r="F29" i="2"/>
  <c r="D17" i="5" l="1"/>
  <c r="D25" i="5" s="1"/>
  <c r="D16" i="5"/>
  <c r="D24" i="5" s="1"/>
  <c r="V64" i="2"/>
  <c r="AE62" i="2"/>
  <c r="X80" i="2" s="1"/>
  <c r="V89" i="2"/>
  <c r="AE87" i="2"/>
  <c r="X105" i="2" s="1"/>
  <c r="AE12" i="2"/>
  <c r="X30" i="2" s="1"/>
  <c r="V39" i="2"/>
  <c r="AE37" i="2"/>
  <c r="X55" i="2" s="1"/>
  <c r="AF64" i="2"/>
  <c r="AF17" i="2"/>
  <c r="AF89" i="2"/>
  <c r="AF92" i="2"/>
  <c r="AF42" i="2"/>
  <c r="AF67" i="2"/>
  <c r="AF40" i="2"/>
  <c r="AG66" i="2"/>
  <c r="Y39" i="2"/>
  <c r="AJ39" i="2" s="1"/>
  <c r="I54" i="2"/>
  <c r="AE56" i="2" s="1"/>
  <c r="AF68" i="2"/>
  <c r="AG15" i="2"/>
  <c r="AF91" i="2"/>
  <c r="AF16" i="2"/>
  <c r="AF93" i="2"/>
  <c r="V92" i="2"/>
  <c r="M47" i="5"/>
  <c r="G47" i="5"/>
  <c r="J47" i="5"/>
  <c r="V42" i="2"/>
  <c r="V69" i="2"/>
  <c r="V45" i="2"/>
  <c r="V95" i="2"/>
  <c r="V90" i="2"/>
  <c r="V76" i="2"/>
  <c r="V91" i="2"/>
  <c r="V99" i="2"/>
  <c r="V26" i="2"/>
  <c r="V70" i="2"/>
  <c r="V100" i="2"/>
  <c r="V65" i="2"/>
  <c r="V102" i="2"/>
  <c r="V75" i="2"/>
  <c r="V41" i="2"/>
  <c r="V93" i="2"/>
  <c r="V50" i="2"/>
  <c r="V71" i="2"/>
  <c r="V48" i="2"/>
  <c r="V101" i="2"/>
  <c r="V98" i="2"/>
  <c r="V68" i="2"/>
  <c r="V51" i="2"/>
  <c r="V77" i="2"/>
  <c r="V49" i="2"/>
  <c r="V44" i="2"/>
  <c r="V40" i="2"/>
  <c r="AK68" i="2"/>
  <c r="AK73" i="2"/>
  <c r="AJ94" i="2"/>
  <c r="AJ99" i="2"/>
  <c r="AJ95" i="2"/>
  <c r="AK91" i="2"/>
  <c r="AJ97" i="2"/>
  <c r="AK100" i="2"/>
  <c r="AK97" i="2"/>
  <c r="AJ91" i="2"/>
  <c r="AK69" i="2"/>
  <c r="AK70" i="2"/>
  <c r="AJ90" i="2"/>
  <c r="AJ101" i="2"/>
  <c r="AJ67" i="2"/>
  <c r="AK101" i="2"/>
  <c r="AJ100" i="2"/>
  <c r="AK90" i="2"/>
  <c r="AK72" i="2"/>
  <c r="AK67" i="2"/>
  <c r="AJ92" i="2"/>
  <c r="AK66" i="2"/>
  <c r="AK95" i="2"/>
  <c r="AJ93" i="2"/>
  <c r="AK92" i="2"/>
  <c r="AK94" i="2"/>
  <c r="AK93" i="2"/>
  <c r="AK65" i="2"/>
  <c r="AJ70" i="2"/>
  <c r="AJ96" i="2"/>
  <c r="AJ102" i="2"/>
  <c r="AK77" i="2"/>
  <c r="AK96" i="2"/>
  <c r="AK75" i="2"/>
  <c r="AJ72" i="2"/>
  <c r="AK76" i="2"/>
  <c r="AJ76" i="2"/>
  <c r="AJ77" i="2"/>
  <c r="AK99" i="2"/>
  <c r="AJ75" i="2"/>
  <c r="AK74" i="2"/>
  <c r="AJ65" i="2"/>
  <c r="AK98" i="2"/>
  <c r="AJ71" i="2"/>
  <c r="AJ74" i="2"/>
  <c r="AK71" i="2"/>
  <c r="AJ68" i="2"/>
  <c r="AJ69" i="2"/>
  <c r="AJ98" i="2"/>
  <c r="AK102" i="2"/>
  <c r="AJ66" i="2"/>
  <c r="AJ73" i="2"/>
  <c r="AJ47" i="2"/>
  <c r="AJ46" i="2"/>
  <c r="AK40" i="2"/>
  <c r="AK48" i="2"/>
  <c r="AK51" i="2"/>
  <c r="AK49" i="2"/>
  <c r="AK50" i="2"/>
  <c r="AK45" i="2"/>
  <c r="AJ52" i="2"/>
  <c r="AK47" i="2"/>
  <c r="AK41" i="2"/>
  <c r="AJ43" i="2"/>
  <c r="AK43" i="2"/>
  <c r="AK42" i="2"/>
  <c r="AK44" i="2"/>
  <c r="AJ44" i="2"/>
  <c r="AK52" i="2"/>
  <c r="AJ41" i="2"/>
  <c r="AJ51" i="2"/>
  <c r="AJ42" i="2"/>
  <c r="AJ48" i="2"/>
  <c r="AJ49" i="2"/>
  <c r="AK46" i="2"/>
  <c r="AJ40" i="2"/>
  <c r="AJ45" i="2"/>
  <c r="AJ50" i="2"/>
  <c r="AJ89" i="2"/>
  <c r="AK89" i="2"/>
  <c r="AK39" i="2"/>
  <c r="AJ64" i="2"/>
  <c r="AK64" i="2"/>
  <c r="V46" i="2"/>
  <c r="AE105" i="2"/>
  <c r="AF105" i="2" s="1"/>
  <c r="AE80" i="2"/>
  <c r="AF80" i="2" s="1"/>
  <c r="AE54" i="2"/>
  <c r="AF54" i="2" s="1"/>
  <c r="AE104" i="2"/>
  <c r="AE79" i="2"/>
  <c r="AE55" i="2"/>
  <c r="AF55" i="2" s="1"/>
  <c r="V52" i="2"/>
  <c r="V72" i="2"/>
  <c r="V66" i="2"/>
  <c r="I32" i="5" s="1"/>
  <c r="V97" i="2"/>
  <c r="AH54" i="2"/>
  <c r="AH79" i="2"/>
  <c r="AH104" i="2"/>
  <c r="V43" i="2"/>
  <c r="V74" i="2"/>
  <c r="V47" i="2"/>
  <c r="V96" i="2"/>
  <c r="V67" i="2"/>
  <c r="V73" i="2"/>
  <c r="V94" i="2"/>
  <c r="AK25" i="2"/>
  <c r="AJ26" i="2"/>
  <c r="AK18" i="2"/>
  <c r="AJ19" i="2"/>
  <c r="AJ15" i="2"/>
  <c r="AJ25" i="2"/>
  <c r="AK21" i="2"/>
  <c r="AJ20" i="2"/>
  <c r="AJ21" i="2"/>
  <c r="AJ23" i="2"/>
  <c r="AK22" i="2"/>
  <c r="AJ22" i="2"/>
  <c r="AK26" i="2"/>
  <c r="AK19" i="2"/>
  <c r="AJ16" i="2"/>
  <c r="AK20" i="2"/>
  <c r="AJ27" i="2"/>
  <c r="AK16" i="2"/>
  <c r="AK17" i="2"/>
  <c r="AJ17" i="2"/>
  <c r="AK15" i="2"/>
  <c r="AJ24" i="2"/>
  <c r="AK27" i="2"/>
  <c r="AK24" i="2"/>
  <c r="AJ18" i="2"/>
  <c r="AK23" i="2"/>
  <c r="AH29" i="2"/>
  <c r="V17" i="2"/>
  <c r="F24" i="5"/>
  <c r="I25" i="5"/>
  <c r="L24" i="5"/>
  <c r="F25" i="5"/>
  <c r="L25" i="5"/>
  <c r="I24" i="5"/>
  <c r="V18" i="2"/>
  <c r="V16" i="2"/>
  <c r="V22" i="2"/>
  <c r="V23" i="2"/>
  <c r="V15" i="2"/>
  <c r="V25" i="2"/>
  <c r="V20" i="2"/>
  <c r="V24" i="2"/>
  <c r="V21" i="2"/>
  <c r="V27" i="2"/>
  <c r="J104" i="2"/>
  <c r="AE29" i="2"/>
  <c r="AF29" i="2" s="1"/>
  <c r="AE30" i="2"/>
  <c r="AF30" i="2" s="1"/>
  <c r="J54" i="2"/>
  <c r="I79" i="2"/>
  <c r="H104" i="2"/>
  <c r="I104" i="2"/>
  <c r="H54" i="2"/>
  <c r="H79" i="2"/>
  <c r="V19" i="2"/>
  <c r="J79" i="2"/>
  <c r="F32" i="5"/>
  <c r="L32" i="5"/>
  <c r="D46" i="5"/>
  <c r="M46" i="5" s="1"/>
  <c r="L66" i="5"/>
  <c r="I66" i="5"/>
  <c r="I68" i="5"/>
  <c r="L68" i="5"/>
  <c r="F66" i="5"/>
  <c r="F68" i="5"/>
  <c r="V14" i="2"/>
  <c r="I29" i="2"/>
  <c r="Y14" i="2"/>
  <c r="AF14" i="2" s="1"/>
  <c r="P29" i="2"/>
  <c r="D69" i="5" s="1"/>
  <c r="Z14" i="2"/>
  <c r="J29" i="2"/>
  <c r="H29" i="2"/>
  <c r="F39" i="5" l="1"/>
  <c r="V57" i="2"/>
  <c r="F20" i="5"/>
  <c r="F27" i="5" s="1"/>
  <c r="AF39" i="2"/>
  <c r="F36" i="5" s="1"/>
  <c r="F60" i="5" s="1"/>
  <c r="D39" i="5"/>
  <c r="I39" i="5"/>
  <c r="L39" i="5"/>
  <c r="AF79" i="2"/>
  <c r="AF104" i="2"/>
  <c r="L31" i="5"/>
  <c r="I31" i="5"/>
  <c r="F31" i="5"/>
  <c r="AE81" i="2"/>
  <c r="V82" i="2"/>
  <c r="V107" i="2"/>
  <c r="AE106" i="2"/>
  <c r="V83" i="2"/>
  <c r="AE82" i="2"/>
  <c r="AE107" i="2"/>
  <c r="V108" i="2"/>
  <c r="D31" i="5"/>
  <c r="AK14" i="2"/>
  <c r="D42" i="5" s="1"/>
  <c r="AG14" i="2"/>
  <c r="D20" i="5"/>
  <c r="AE31" i="2"/>
  <c r="V32" i="2"/>
  <c r="AE32" i="2"/>
  <c r="V33" i="2"/>
  <c r="V58" i="2"/>
  <c r="AE57" i="2"/>
  <c r="AL52" i="2"/>
  <c r="AL45" i="2"/>
  <c r="AL70" i="2"/>
  <c r="AL73" i="2"/>
  <c r="AL42" i="2"/>
  <c r="AL76" i="2"/>
  <c r="AL94" i="2"/>
  <c r="AL49" i="2"/>
  <c r="AL69" i="2"/>
  <c r="AL93" i="2"/>
  <c r="AL46" i="2"/>
  <c r="AL95" i="2"/>
  <c r="AL26" i="2"/>
  <c r="AL71" i="2"/>
  <c r="AL51" i="2"/>
  <c r="AL23" i="2"/>
  <c r="AL98" i="2"/>
  <c r="AL15" i="2"/>
  <c r="AL97" i="2"/>
  <c r="AL68" i="2"/>
  <c r="AL102" i="2"/>
  <c r="AL72" i="2"/>
  <c r="AL41" i="2"/>
  <c r="AL77" i="2"/>
  <c r="AL91" i="2"/>
  <c r="AL92" i="2"/>
  <c r="AL44" i="2"/>
  <c r="AL99" i="2"/>
  <c r="AL19" i="2"/>
  <c r="F21" i="5"/>
  <c r="AL27" i="2"/>
  <c r="AL16" i="2"/>
  <c r="AL67" i="2"/>
  <c r="X57" i="2"/>
  <c r="AL22" i="2"/>
  <c r="AL21" i="2"/>
  <c r="AL18" i="2"/>
  <c r="AL96" i="2"/>
  <c r="AL24" i="2"/>
  <c r="AL17" i="2"/>
  <c r="AL47" i="2"/>
  <c r="AL48" i="2"/>
  <c r="AL20" i="2"/>
  <c r="AL74" i="2"/>
  <c r="AL43" i="2"/>
  <c r="AL66" i="2"/>
  <c r="AL40" i="2"/>
  <c r="AL101" i="2"/>
  <c r="L20" i="5"/>
  <c r="L27" i="5" s="1"/>
  <c r="AL100" i="2"/>
  <c r="X107" i="2"/>
  <c r="L21" i="5"/>
  <c r="AL75" i="2"/>
  <c r="I20" i="5"/>
  <c r="I27" i="5" s="1"/>
  <c r="I21" i="5"/>
  <c r="X82" i="2"/>
  <c r="AL50" i="2"/>
  <c r="D32" i="5"/>
  <c r="F41" i="5"/>
  <c r="F63" i="5" s="1"/>
  <c r="I41" i="5"/>
  <c r="I63" i="5" s="1"/>
  <c r="F42" i="5"/>
  <c r="F64" i="5" s="1"/>
  <c r="AJ14" i="2"/>
  <c r="D41" i="5" s="1"/>
  <c r="L34" i="5"/>
  <c r="I42" i="5"/>
  <c r="I64" i="5" s="1"/>
  <c r="I34" i="5"/>
  <c r="F34" i="5"/>
  <c r="L42" i="5"/>
  <c r="L64" i="5" s="1"/>
  <c r="D26" i="5"/>
  <c r="X32" i="2"/>
  <c r="D34" i="5"/>
  <c r="D21" i="5"/>
  <c r="G17" i="5"/>
  <c r="J17" i="5"/>
  <c r="M17" i="5"/>
  <c r="J16" i="5"/>
  <c r="D18" i="5"/>
  <c r="D19" i="5" s="1"/>
  <c r="M16" i="5"/>
  <c r="G16" i="5"/>
  <c r="M25" i="5"/>
  <c r="G25" i="5"/>
  <c r="F26" i="5"/>
  <c r="G24" i="5"/>
  <c r="I26" i="5"/>
  <c r="J24" i="5"/>
  <c r="L26" i="5"/>
  <c r="M24" i="5"/>
  <c r="J25" i="5"/>
  <c r="AL25" i="2"/>
  <c r="F58" i="5"/>
  <c r="L58" i="5"/>
  <c r="I58" i="5"/>
  <c r="J46" i="5"/>
  <c r="G46" i="5"/>
  <c r="M69" i="5"/>
  <c r="J69" i="5"/>
  <c r="G69" i="5"/>
  <c r="D66" i="5"/>
  <c r="G66" i="5" s="1"/>
  <c r="D48" i="5"/>
  <c r="D52" i="5"/>
  <c r="U31" i="2" l="1"/>
  <c r="AZ55" i="2"/>
  <c r="AO80" i="2"/>
  <c r="AU55" i="2"/>
  <c r="BB55" i="2"/>
  <c r="BD55" i="2"/>
  <c r="BA55" i="2"/>
  <c r="BG55" i="2"/>
  <c r="AW55" i="2"/>
  <c r="AW80" i="2"/>
  <c r="AP105" i="2"/>
  <c r="AT55" i="2"/>
  <c r="AS80" i="2"/>
  <c r="BC105" i="2"/>
  <c r="BF105" i="2"/>
  <c r="AQ55" i="2"/>
  <c r="AW105" i="2"/>
  <c r="AR55" i="2"/>
  <c r="AY105" i="2"/>
  <c r="BF80" i="2"/>
  <c r="AV80" i="2"/>
  <c r="BA105" i="2"/>
  <c r="AZ80" i="2"/>
  <c r="AQ105" i="2"/>
  <c r="BE80" i="2"/>
  <c r="BB80" i="2"/>
  <c r="AU105" i="2"/>
  <c r="BC80" i="2"/>
  <c r="BE55" i="2"/>
  <c r="AY55" i="2"/>
  <c r="AR105" i="2"/>
  <c r="AS55" i="2"/>
  <c r="BC55" i="2"/>
  <c r="AU80" i="2"/>
  <c r="AT105" i="2"/>
  <c r="BG105" i="2"/>
  <c r="BF55" i="2"/>
  <c r="AV105" i="2"/>
  <c r="AV55" i="2"/>
  <c r="BE105" i="2"/>
  <c r="BD105" i="2"/>
  <c r="AO105" i="2"/>
  <c r="AX55" i="2"/>
  <c r="AQ80" i="2"/>
  <c r="AO55" i="2"/>
  <c r="BB105" i="2"/>
  <c r="AS105" i="2"/>
  <c r="AX105" i="2"/>
  <c r="AR80" i="2"/>
  <c r="BD80" i="2"/>
  <c r="BA80" i="2"/>
  <c r="AY80" i="2"/>
  <c r="AZ105" i="2"/>
  <c r="AP80" i="2"/>
  <c r="BG80" i="2"/>
  <c r="AT80" i="2"/>
  <c r="AX80" i="2"/>
  <c r="AP55" i="2"/>
  <c r="AN55" i="2"/>
  <c r="AN80" i="2"/>
  <c r="AN105" i="2"/>
  <c r="BD104" i="2"/>
  <c r="AO104" i="2"/>
  <c r="AW104" i="2"/>
  <c r="BE104" i="2"/>
  <c r="AQ104" i="2"/>
  <c r="BG104" i="2"/>
  <c r="AP104" i="2"/>
  <c r="AX104" i="2"/>
  <c r="BF104" i="2"/>
  <c r="AN104" i="2"/>
  <c r="AY104" i="2"/>
  <c r="AT104" i="2"/>
  <c r="BC104" i="2"/>
  <c r="AR104" i="2"/>
  <c r="AZ104" i="2"/>
  <c r="AS104" i="2"/>
  <c r="BA104" i="2"/>
  <c r="BB104" i="2"/>
  <c r="AU104" i="2"/>
  <c r="AV104" i="2"/>
  <c r="AR79" i="2"/>
  <c r="AZ79" i="2"/>
  <c r="AS79" i="2"/>
  <c r="BA79" i="2"/>
  <c r="AT79" i="2"/>
  <c r="BB79" i="2"/>
  <c r="AN79" i="2"/>
  <c r="BD79" i="2"/>
  <c r="AY79" i="2"/>
  <c r="AU79" i="2"/>
  <c r="BC79" i="2"/>
  <c r="AV79" i="2"/>
  <c r="AV81" i="2" s="1"/>
  <c r="BG79" i="2"/>
  <c r="AW79" i="2"/>
  <c r="BE79" i="2"/>
  <c r="AO79" i="2"/>
  <c r="AP79" i="2"/>
  <c r="AX79" i="2"/>
  <c r="BF79" i="2"/>
  <c r="AQ79" i="2"/>
  <c r="AP54" i="2"/>
  <c r="AQ54" i="2"/>
  <c r="AY54" i="2"/>
  <c r="BG54" i="2"/>
  <c r="AR54" i="2"/>
  <c r="AR56" i="2" s="1"/>
  <c r="AZ54" i="2"/>
  <c r="AS54" i="2"/>
  <c r="BA54" i="2"/>
  <c r="AX54" i="2"/>
  <c r="AT54" i="2"/>
  <c r="BB54" i="2"/>
  <c r="AW54" i="2"/>
  <c r="BF54" i="2"/>
  <c r="AN54" i="2"/>
  <c r="AU54" i="2"/>
  <c r="BC54" i="2"/>
  <c r="BE54" i="2"/>
  <c r="AV54" i="2"/>
  <c r="BD54" i="2"/>
  <c r="AO54" i="2"/>
  <c r="U56" i="2"/>
  <c r="U106" i="2"/>
  <c r="U81" i="2"/>
  <c r="I44" i="5"/>
  <c r="L44" i="5"/>
  <c r="CC56" i="2"/>
  <c r="DR56" i="2"/>
  <c r="DS56" i="2"/>
  <c r="BS56" i="2"/>
  <c r="CM56" i="2"/>
  <c r="DK56" i="2"/>
  <c r="DA56" i="2"/>
  <c r="CW56" i="2"/>
  <c r="CG56" i="2"/>
  <c r="CH56" i="2"/>
  <c r="CS56" i="2"/>
  <c r="EI56" i="2"/>
  <c r="CZ56" i="2"/>
  <c r="CN56" i="2"/>
  <c r="EH56" i="2"/>
  <c r="CD56" i="2"/>
  <c r="DY56" i="2"/>
  <c r="DN56" i="2"/>
  <c r="CV56" i="2"/>
  <c r="DI56" i="2"/>
  <c r="DC56" i="2"/>
  <c r="CU56" i="2"/>
  <c r="CX56" i="2"/>
  <c r="BX56" i="2"/>
  <c r="DU56" i="2"/>
  <c r="CL56" i="2"/>
  <c r="CJ56" i="2"/>
  <c r="ED56" i="2"/>
  <c r="BU56" i="2"/>
  <c r="DM56" i="2"/>
  <c r="DX56" i="2"/>
  <c r="DO56" i="2"/>
  <c r="BH56" i="2"/>
  <c r="DV56" i="2"/>
  <c r="DP56" i="2"/>
  <c r="BL56" i="2"/>
  <c r="CE56" i="2"/>
  <c r="DH56" i="2"/>
  <c r="BN56" i="2"/>
  <c r="EF56" i="2"/>
  <c r="BO56" i="2"/>
  <c r="BJ56" i="2"/>
  <c r="DJ56" i="2"/>
  <c r="CT56" i="2"/>
  <c r="CF56" i="2"/>
  <c r="CP56" i="2"/>
  <c r="DT56" i="2"/>
  <c r="EG56" i="2"/>
  <c r="EC56" i="2"/>
  <c r="BY56" i="2"/>
  <c r="BP56" i="2"/>
  <c r="CO56" i="2"/>
  <c r="CI56" i="2"/>
  <c r="DF56" i="2"/>
  <c r="DB56" i="2"/>
  <c r="BW56" i="2"/>
  <c r="DL56" i="2"/>
  <c r="DD56" i="2"/>
  <c r="DZ56" i="2"/>
  <c r="BR56" i="2"/>
  <c r="EA56" i="2"/>
  <c r="EB56" i="2"/>
  <c r="CY56" i="2"/>
  <c r="BK56" i="2"/>
  <c r="CR56" i="2"/>
  <c r="CA56" i="2"/>
  <c r="CQ56" i="2"/>
  <c r="BT56" i="2"/>
  <c r="DW56" i="2"/>
  <c r="BI56" i="2"/>
  <c r="CK56" i="2"/>
  <c r="CB56" i="2"/>
  <c r="BZ56" i="2"/>
  <c r="BV56" i="2"/>
  <c r="BM56" i="2"/>
  <c r="EE56" i="2"/>
  <c r="DG56" i="2"/>
  <c r="DQ56" i="2"/>
  <c r="DE56" i="2"/>
  <c r="BQ56" i="2"/>
  <c r="L36" i="5"/>
  <c r="AL89" i="2"/>
  <c r="I36" i="5"/>
  <c r="AL64" i="2"/>
  <c r="J26" i="5"/>
  <c r="M39" i="5"/>
  <c r="F44" i="5"/>
  <c r="J39" i="5"/>
  <c r="D44" i="5"/>
  <c r="D50" i="5" s="1"/>
  <c r="G39" i="5"/>
  <c r="L41" i="5"/>
  <c r="M41" i="5" s="1"/>
  <c r="G26" i="5"/>
  <c r="M26" i="5"/>
  <c r="J34" i="5"/>
  <c r="G34" i="5"/>
  <c r="M34" i="5"/>
  <c r="J18" i="5"/>
  <c r="G18" i="5"/>
  <c r="M18" i="5"/>
  <c r="J20" i="5"/>
  <c r="I22" i="5"/>
  <c r="I23" i="5" s="1"/>
  <c r="I28" i="5"/>
  <c r="I29" i="5" s="1"/>
  <c r="F22" i="5"/>
  <c r="F23" i="5" s="1"/>
  <c r="F28" i="5"/>
  <c r="F29" i="5" s="1"/>
  <c r="L22" i="5"/>
  <c r="L23" i="5" s="1"/>
  <c r="L28" i="5"/>
  <c r="L29" i="5" s="1"/>
  <c r="F43" i="5"/>
  <c r="F45" i="5" s="1"/>
  <c r="F33" i="5"/>
  <c r="F57" i="5"/>
  <c r="I43" i="5"/>
  <c r="I65" i="5" s="1"/>
  <c r="I33" i="5"/>
  <c r="I57" i="5"/>
  <c r="L33" i="5"/>
  <c r="L57" i="5"/>
  <c r="D37" i="5"/>
  <c r="G20" i="5"/>
  <c r="D27" i="5"/>
  <c r="J27" i="5" s="1"/>
  <c r="M20" i="5"/>
  <c r="M66" i="5"/>
  <c r="J66" i="5"/>
  <c r="J31" i="5"/>
  <c r="M31" i="5"/>
  <c r="M52" i="5"/>
  <c r="J52" i="5"/>
  <c r="G52" i="5"/>
  <c r="J32" i="5"/>
  <c r="M32" i="5"/>
  <c r="G32" i="5"/>
  <c r="G48" i="5"/>
  <c r="M48" i="5"/>
  <c r="J48" i="5"/>
  <c r="J21" i="5"/>
  <c r="M21" i="5"/>
  <c r="M42" i="5"/>
  <c r="J42" i="5"/>
  <c r="G42" i="5"/>
  <c r="J41" i="5"/>
  <c r="G41" i="5"/>
  <c r="D68" i="5"/>
  <c r="D53" i="5"/>
  <c r="G21" i="5"/>
  <c r="D28" i="5"/>
  <c r="D22" i="5"/>
  <c r="D23" i="5" s="1"/>
  <c r="D58" i="5"/>
  <c r="BA106" i="2" l="1"/>
  <c r="AW56" i="2"/>
  <c r="AV56" i="2"/>
  <c r="AU56" i="2"/>
  <c r="M23" i="5"/>
  <c r="G23" i="5"/>
  <c r="J23" i="5"/>
  <c r="AZ56" i="2"/>
  <c r="BC81" i="2"/>
  <c r="BF81" i="2"/>
  <c r="AN56" i="2"/>
  <c r="BC56" i="2"/>
  <c r="BF106" i="2"/>
  <c r="AN81" i="2"/>
  <c r="AT56" i="2"/>
  <c r="AQ81" i="2"/>
  <c r="BG106" i="2"/>
  <c r="AY81" i="2"/>
  <c r="AU81" i="2"/>
  <c r="AO56" i="2"/>
  <c r="AU106" i="2"/>
  <c r="AY106" i="2"/>
  <c r="AX56" i="2"/>
  <c r="AP56" i="2"/>
  <c r="AW81" i="2"/>
  <c r="BB81" i="2"/>
  <c r="AO106" i="2"/>
  <c r="BA81" i="2"/>
  <c r="AN106" i="2"/>
  <c r="AZ106" i="2"/>
  <c r="AP106" i="2"/>
  <c r="AO81" i="2"/>
  <c r="BD81" i="2"/>
  <c r="AT106" i="2"/>
  <c r="AR81" i="2"/>
  <c r="BE81" i="2"/>
  <c r="AW106" i="2"/>
  <c r="BE56" i="2"/>
  <c r="AT81" i="2"/>
  <c r="BD106" i="2"/>
  <c r="AP81" i="2"/>
  <c r="BB106" i="2"/>
  <c r="AX81" i="2"/>
  <c r="BD56" i="2"/>
  <c r="BB56" i="2"/>
  <c r="AY56" i="2"/>
  <c r="BE106" i="2"/>
  <c r="AS56" i="2"/>
  <c r="AQ106" i="2"/>
  <c r="BG56" i="2"/>
  <c r="AR106" i="2"/>
  <c r="BA56" i="2"/>
  <c r="AS81" i="2"/>
  <c r="BF56" i="2"/>
  <c r="BC106" i="2"/>
  <c r="BG81" i="2"/>
  <c r="AS106" i="2"/>
  <c r="AX106" i="2"/>
  <c r="AQ56" i="2"/>
  <c r="AZ81" i="2"/>
  <c r="AV106" i="2"/>
  <c r="L37" i="5"/>
  <c r="L61" i="5" s="1"/>
  <c r="AL39" i="2"/>
  <c r="U55" i="2"/>
  <c r="AL90" i="2"/>
  <c r="U105" i="2"/>
  <c r="I37" i="5"/>
  <c r="I61" i="5" s="1"/>
  <c r="U80" i="2"/>
  <c r="AL65" i="2"/>
  <c r="J44" i="5"/>
  <c r="L63" i="5"/>
  <c r="M44" i="5"/>
  <c r="L50" i="5"/>
  <c r="M50" i="5" s="1"/>
  <c r="M75" i="5" s="1"/>
  <c r="L43" i="5"/>
  <c r="L65" i="5" s="1"/>
  <c r="I50" i="5"/>
  <c r="J50" i="5" s="1"/>
  <c r="J75" i="5" s="1"/>
  <c r="F37" i="5"/>
  <c r="F38" i="5" s="1"/>
  <c r="F49" i="5" s="1"/>
  <c r="F54" i="5" s="1"/>
  <c r="F55" i="5" s="1"/>
  <c r="F50" i="5"/>
  <c r="G50" i="5" s="1"/>
  <c r="G75" i="5" s="1"/>
  <c r="G44" i="5"/>
  <c r="J19" i="5"/>
  <c r="M19" i="5"/>
  <c r="G19" i="5"/>
  <c r="F65" i="5"/>
  <c r="F35" i="5"/>
  <c r="F59" i="5"/>
  <c r="M27" i="5"/>
  <c r="I45" i="5"/>
  <c r="L35" i="5"/>
  <c r="L59" i="5"/>
  <c r="I35" i="5"/>
  <c r="I59" i="5"/>
  <c r="G27" i="5"/>
  <c r="U30" i="2"/>
  <c r="D36" i="5"/>
  <c r="D60" i="5" s="1"/>
  <c r="G58" i="5"/>
  <c r="M58" i="5"/>
  <c r="J58" i="5"/>
  <c r="M22" i="5"/>
  <c r="J22" i="5"/>
  <c r="D29" i="5"/>
  <c r="M28" i="5"/>
  <c r="J28" i="5"/>
  <c r="G28" i="5"/>
  <c r="G53" i="5"/>
  <c r="M53" i="5"/>
  <c r="J53" i="5"/>
  <c r="M68" i="5"/>
  <c r="J68" i="5"/>
  <c r="G68" i="5"/>
  <c r="AL14" i="2"/>
  <c r="D64" i="5"/>
  <c r="D61" i="5"/>
  <c r="D57" i="5"/>
  <c r="D33" i="5"/>
  <c r="G22" i="5"/>
  <c r="D63" i="5"/>
  <c r="AN57" i="2" l="1"/>
  <c r="AN107" i="2"/>
  <c r="AN58" i="2"/>
  <c r="AO107" i="2" a="1"/>
  <c r="AO107" i="2" s="1"/>
  <c r="AO57" i="2" a="1"/>
  <c r="AO57" i="2" s="1"/>
  <c r="AN83" i="2"/>
  <c r="AN108" i="2"/>
  <c r="AO82" i="2" a="1"/>
  <c r="AO82" i="2" s="1"/>
  <c r="AN82" i="2"/>
  <c r="G33" i="5"/>
  <c r="D59" i="5"/>
  <c r="L45" i="5"/>
  <c r="F61" i="5"/>
  <c r="G61" i="5" s="1"/>
  <c r="G37" i="5"/>
  <c r="F40" i="5"/>
  <c r="F51" i="5" s="1"/>
  <c r="M37" i="5"/>
  <c r="F62" i="5"/>
  <c r="F70" i="5" s="1"/>
  <c r="L38" i="5"/>
  <c r="L60" i="5"/>
  <c r="M60" i="5" s="1"/>
  <c r="I38" i="5"/>
  <c r="I60" i="5"/>
  <c r="J60" i="5" s="1"/>
  <c r="J37" i="5"/>
  <c r="M36" i="5"/>
  <c r="J36" i="5"/>
  <c r="G36" i="5"/>
  <c r="M33" i="5"/>
  <c r="J33" i="5"/>
  <c r="M29" i="5"/>
  <c r="G29" i="5"/>
  <c r="J29" i="5"/>
  <c r="M57" i="5"/>
  <c r="G57" i="5"/>
  <c r="J57" i="5"/>
  <c r="M61" i="5"/>
  <c r="J61" i="5"/>
  <c r="G60" i="5"/>
  <c r="M64" i="5"/>
  <c r="J64" i="5"/>
  <c r="G64" i="5"/>
  <c r="J63" i="5"/>
  <c r="M63" i="5"/>
  <c r="G63" i="5"/>
  <c r="D43" i="5"/>
  <c r="D38" i="5"/>
  <c r="D35" i="5"/>
  <c r="AN109" i="2" l="1"/>
  <c r="M76" i="5" s="1"/>
  <c r="AN84" i="2"/>
  <c r="J76" i="5" s="1"/>
  <c r="AN59" i="2"/>
  <c r="G76" i="5" s="1"/>
  <c r="F72" i="5"/>
  <c r="F71" i="5"/>
  <c r="I40" i="5"/>
  <c r="I51" i="5" s="1"/>
  <c r="I62" i="5"/>
  <c r="I70" i="5" s="1"/>
  <c r="I49" i="5"/>
  <c r="I54" i="5" s="1"/>
  <c r="I55" i="5" s="1"/>
  <c r="L40" i="5"/>
  <c r="L51" i="5" s="1"/>
  <c r="L62" i="5"/>
  <c r="L70" i="5" s="1"/>
  <c r="L49" i="5"/>
  <c r="L54" i="5" s="1"/>
  <c r="L55" i="5" s="1"/>
  <c r="M35" i="5"/>
  <c r="J35" i="5"/>
  <c r="G35" i="5"/>
  <c r="G59" i="5"/>
  <c r="M59" i="5"/>
  <c r="J59" i="5"/>
  <c r="M38" i="5"/>
  <c r="J38" i="5"/>
  <c r="G38" i="5"/>
  <c r="D45" i="5"/>
  <c r="M43" i="5"/>
  <c r="J43" i="5"/>
  <c r="G43" i="5"/>
  <c r="D49" i="5"/>
  <c r="D65" i="5"/>
  <c r="D40" i="5"/>
  <c r="D62" i="5"/>
  <c r="G31" i="5"/>
  <c r="D51" i="5" l="1"/>
  <c r="M51" i="5" s="1"/>
  <c r="D70" i="5"/>
  <c r="D71" i="5" s="1"/>
  <c r="G71" i="5" s="1"/>
  <c r="L72" i="5"/>
  <c r="L71" i="5"/>
  <c r="I72" i="5"/>
  <c r="I71" i="5"/>
  <c r="G62" i="5"/>
  <c r="M62" i="5"/>
  <c r="J62" i="5"/>
  <c r="J40" i="5"/>
  <c r="M40" i="5"/>
  <c r="G40" i="5"/>
  <c r="J65" i="5"/>
  <c r="M65" i="5"/>
  <c r="G65" i="5"/>
  <c r="D54" i="5"/>
  <c r="J49" i="5"/>
  <c r="M49" i="5"/>
  <c r="G49" i="5"/>
  <c r="M45" i="5"/>
  <c r="J45" i="5"/>
  <c r="G45" i="5"/>
  <c r="J71" i="5" l="1"/>
  <c r="M71" i="5"/>
  <c r="G51" i="5"/>
  <c r="J51" i="5"/>
  <c r="D55" i="5"/>
  <c r="M54" i="5"/>
  <c r="J54" i="5"/>
  <c r="G54" i="5"/>
  <c r="D72" i="5"/>
  <c r="M70" i="5"/>
  <c r="M74" i="5" s="1"/>
  <c r="J70" i="5"/>
  <c r="J74" i="5" s="1"/>
  <c r="G70" i="5"/>
  <c r="G74" i="5" s="1"/>
  <c r="M72" i="5" l="1"/>
  <c r="J72" i="5"/>
  <c r="G72" i="5"/>
  <c r="M55" i="5"/>
  <c r="J55" i="5"/>
  <c r="G5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Onysko</author>
    <author>Eric Chisholm</author>
  </authors>
  <commentList>
    <comment ref="D16" authorId="0" shapeId="0" xr:uid="{30CC8114-45C8-459B-84CD-EE399477F897}">
      <text>
        <r>
          <rPr>
            <b/>
            <sz val="9"/>
            <color indexed="81"/>
            <rFont val="Tahoma"/>
            <family val="2"/>
          </rPr>
          <t>CaGBC:</t>
        </r>
        <r>
          <rPr>
            <sz val="9"/>
            <color indexed="81"/>
            <rFont val="Tahoma"/>
            <family val="2"/>
          </rPr>
          <t xml:space="preserve">
Selecting your province will auto-populate the carbon intensity of electricity</t>
        </r>
      </text>
    </comment>
    <comment ref="I16" authorId="1" shapeId="0" xr:uid="{8B732523-D4F3-4878-86F5-772B0A51308A}">
      <text>
        <r>
          <rPr>
            <b/>
            <sz val="9"/>
            <color indexed="81"/>
            <rFont val="Tahoma"/>
            <family val="2"/>
          </rPr>
          <t xml:space="preserve">CaGBC:
</t>
        </r>
        <r>
          <rPr>
            <sz val="9"/>
            <color indexed="81"/>
            <rFont val="Tahoma"/>
            <family val="2"/>
          </rPr>
          <t>ZCB Design: for new construction
ZCB Performance: for existing buildings</t>
        </r>
      </text>
    </comment>
    <comment ref="K16" authorId="0" shapeId="0" xr:uid="{B715ABC0-37D1-429C-B324-6EFFDBE2E5D3}">
      <text>
        <r>
          <rPr>
            <b/>
            <sz val="9"/>
            <color indexed="81"/>
            <rFont val="Tahoma"/>
            <family val="2"/>
          </rPr>
          <t>CaGBC:</t>
        </r>
        <r>
          <rPr>
            <sz val="9"/>
            <color indexed="81"/>
            <rFont val="Tahoma"/>
            <family val="2"/>
          </rPr>
          <t xml:space="preserve">
Used to calculate energy use intensity and other reported values.</t>
        </r>
      </text>
    </comment>
    <comment ref="N16" authorId="0" shapeId="0" xr:uid="{3F6A0D7F-2EF1-45BB-B8DD-6A7E25173349}">
      <text>
        <r>
          <rPr>
            <b/>
            <sz val="9"/>
            <color indexed="81"/>
            <rFont val="Tahoma"/>
            <family val="2"/>
          </rPr>
          <t>CaGBC:</t>
        </r>
        <r>
          <rPr>
            <sz val="9"/>
            <color indexed="81"/>
            <rFont val="Tahoma"/>
            <family val="2"/>
          </rPr>
          <t xml:space="preserve">
Select the method that will be used to offset emissions from electrical consumption.
Non-electrical consumption emissions are always offset using Carbon Offsets</t>
        </r>
      </text>
    </comment>
    <comment ref="F20" authorId="0" shapeId="0" xr:uid="{63707DF5-9068-4F66-82AB-E24DDAEF76A9}">
      <text>
        <r>
          <rPr>
            <b/>
            <sz val="9"/>
            <color indexed="81"/>
            <rFont val="Tahoma"/>
            <family val="2"/>
          </rPr>
          <t>CaGBC:</t>
        </r>
        <r>
          <rPr>
            <sz val="9"/>
            <color indexed="81"/>
            <rFont val="Tahoma"/>
            <family val="2"/>
          </rPr>
          <t xml:space="preserve">
Zero Carbon Building Standard requires a 20 year timeline. The user may modify this for interim scenarios if desired.</t>
        </r>
      </text>
    </comment>
    <comment ref="K20" authorId="0" shapeId="0" xr:uid="{5CA15BAD-CAC0-4169-BA0E-36B3D46A92C6}">
      <text>
        <r>
          <rPr>
            <b/>
            <sz val="9"/>
            <color indexed="81"/>
            <rFont val="Tahoma"/>
            <family val="2"/>
          </rPr>
          <t>CaGBC:</t>
        </r>
        <r>
          <rPr>
            <sz val="9"/>
            <color indexed="81"/>
            <rFont val="Tahoma"/>
            <family val="2"/>
          </rPr>
          <t xml:space="preserve">
The present-day price on pollution applied in addition to utility rates.</t>
        </r>
      </text>
    </comment>
    <comment ref="F22" authorId="0" shapeId="0" xr:uid="{9662035A-8B85-40E3-9AA0-F75BC114C29B}">
      <text>
        <r>
          <rPr>
            <b/>
            <sz val="9"/>
            <color indexed="81"/>
            <rFont val="Tahoma"/>
            <family val="2"/>
          </rPr>
          <t>CaGBC:</t>
        </r>
        <r>
          <rPr>
            <sz val="9"/>
            <color indexed="81"/>
            <rFont val="Tahoma"/>
            <family val="2"/>
          </rPr>
          <t xml:space="preserve">
Zero Carbon Building Standard requires a 3% discount rate. The user may modify this for interim scenarios if desired.</t>
        </r>
      </text>
    </comment>
    <comment ref="K22" authorId="0" shapeId="0" xr:uid="{4471DD62-0E28-4BC0-92B3-24CB16A27AF1}">
      <text>
        <r>
          <rPr>
            <b/>
            <sz val="9"/>
            <color indexed="81"/>
            <rFont val="Tahoma"/>
            <family val="2"/>
          </rPr>
          <t>CaGBC:</t>
        </r>
        <r>
          <rPr>
            <sz val="9"/>
            <color indexed="81"/>
            <rFont val="Tahoma"/>
            <family val="2"/>
          </rPr>
          <t xml:space="preserve">
The rate of pollution price increase.
Eg: for a 3% annual increase, enter "3", and select "%" for escalation units.
NOTE: The inflation rate is not applied in addition to this.</t>
        </r>
      </text>
    </comment>
    <comment ref="L22" authorId="0" shapeId="0" xr:uid="{A6226F99-D109-4211-94EE-3F874AF19330}">
      <text>
        <r>
          <rPr>
            <b/>
            <sz val="9"/>
            <color indexed="81"/>
            <rFont val="Tahoma"/>
            <family val="2"/>
          </rPr>
          <t>CaGBC:</t>
        </r>
        <r>
          <rPr>
            <sz val="9"/>
            <color indexed="81"/>
            <rFont val="Tahoma"/>
            <family val="2"/>
          </rPr>
          <t xml:space="preserve">
The pollution price units of escalation.
Eg: for a 3% annual increase, enter "3", and select "%" for escalation units.</t>
        </r>
      </text>
    </comment>
    <comment ref="F24" authorId="0" shapeId="0" xr:uid="{19A4494C-CB7C-43DC-BA54-868B2105B69E}">
      <text>
        <r>
          <rPr>
            <b/>
            <sz val="9"/>
            <color indexed="81"/>
            <rFont val="Tahoma"/>
            <family val="2"/>
          </rPr>
          <t>CaGBC:</t>
        </r>
        <r>
          <rPr>
            <sz val="9"/>
            <color indexed="81"/>
            <rFont val="Tahoma"/>
            <family val="2"/>
          </rPr>
          <t xml:space="preserve">
Inflation is applied to future annual O&amp;M, capital, and incentive costs only.</t>
        </r>
      </text>
    </comment>
    <comment ref="K24" authorId="0" shapeId="0" xr:uid="{52E96E1D-A456-4082-8F09-6236EB0937DA}">
      <text>
        <r>
          <rPr>
            <b/>
            <sz val="9"/>
            <color indexed="81"/>
            <rFont val="Tahoma"/>
            <family val="2"/>
          </rPr>
          <t>CaGBC:</t>
        </r>
        <r>
          <rPr>
            <sz val="9"/>
            <color indexed="81"/>
            <rFont val="Tahoma"/>
            <family val="2"/>
          </rPr>
          <t xml:space="preserve">
The maximum future pollution price cap. Enter "NA" to assign no maximum price.</t>
        </r>
      </text>
    </comment>
    <comment ref="F29" authorId="0" shapeId="0" xr:uid="{768F34FC-1188-4DD2-880D-13FA8CDB1DD7}">
      <text>
        <r>
          <rPr>
            <b/>
            <sz val="9"/>
            <color indexed="81"/>
            <rFont val="Tahoma"/>
            <family val="2"/>
          </rPr>
          <t>CaGBC:</t>
        </r>
        <r>
          <rPr>
            <sz val="9"/>
            <color indexed="81"/>
            <rFont val="Tahoma"/>
            <family val="2"/>
          </rPr>
          <t xml:space="preserve">
The cost per unit of utility consumption (define units from the drop-down to the right)</t>
        </r>
      </text>
    </comment>
    <comment ref="I29" authorId="0" shapeId="0" xr:uid="{62CE268E-E5D6-4623-8321-9ABAC2B40253}">
      <text>
        <r>
          <rPr>
            <b/>
            <sz val="9"/>
            <color indexed="81"/>
            <rFont val="Tahoma"/>
            <family val="2"/>
          </rPr>
          <t>CaGBC:</t>
        </r>
        <r>
          <rPr>
            <sz val="9"/>
            <color indexed="81"/>
            <rFont val="Tahoma"/>
            <family val="2"/>
          </rPr>
          <t xml:space="preserve">
The units of utility consumption and pricing.</t>
        </r>
      </text>
    </comment>
    <comment ref="J29" authorId="0" shapeId="0" xr:uid="{BA235FD3-406F-48BB-AAB8-153A02050890}">
      <text>
        <r>
          <rPr>
            <b/>
            <sz val="9"/>
            <color indexed="81"/>
            <rFont val="Tahoma"/>
            <family val="2"/>
          </rPr>
          <t>CaGBC:</t>
        </r>
        <r>
          <rPr>
            <sz val="9"/>
            <color indexed="81"/>
            <rFont val="Tahoma"/>
            <family val="2"/>
          </rPr>
          <t xml:space="preserve">
The rate at which utility cost will increase each year.
NOTE: The inflation rate is not applied in addition to this.</t>
        </r>
      </text>
    </comment>
    <comment ref="K29" authorId="0" shapeId="0" xr:uid="{0ADA5A25-AF44-4007-8B04-A0204896707D}">
      <text>
        <r>
          <rPr>
            <b/>
            <sz val="9"/>
            <color indexed="81"/>
            <rFont val="Tahoma"/>
            <family val="2"/>
          </rPr>
          <t>CaGBC:</t>
        </r>
        <r>
          <rPr>
            <sz val="9"/>
            <color indexed="81"/>
            <rFont val="Tahoma"/>
            <family val="2"/>
          </rPr>
          <t xml:space="preserve">
Common utilities will autopopulate with carbon intensity information, however these values can be over-written.</t>
        </r>
      </text>
    </comment>
    <comment ref="C34" authorId="0" shapeId="0" xr:uid="{5A0DBB5A-3A29-400F-89C0-CAB055025EFF}">
      <text>
        <r>
          <rPr>
            <b/>
            <sz val="9"/>
            <color indexed="81"/>
            <rFont val="Tahoma"/>
            <family val="2"/>
          </rPr>
          <t>CaGBC:</t>
        </r>
        <r>
          <rPr>
            <sz val="9"/>
            <color indexed="81"/>
            <rFont val="Tahoma"/>
            <family val="2"/>
          </rPr>
          <t xml:space="preserve">
The cost and carbon intensity for RECs. Carbon Intensity should be entered as a negative number</t>
        </r>
      </text>
    </comment>
    <comment ref="F35" authorId="1" shapeId="0" xr:uid="{801BF6D3-74F8-4EAC-8842-674956B1B317}">
      <text>
        <r>
          <rPr>
            <b/>
            <sz val="9"/>
            <color indexed="81"/>
            <rFont val="Tahoma"/>
            <family val="2"/>
          </rPr>
          <t>CaGBC:</t>
        </r>
        <r>
          <rPr>
            <sz val="9"/>
            <color indexed="81"/>
            <rFont val="Tahoma"/>
            <family val="2"/>
          </rPr>
          <t xml:space="preserve">
Eg: If the Carbon Offset has a cost of $0.02/kgCO2e, enter "0.02" in the Utility Cost column, and select units of "kg" in the Units column</t>
        </r>
      </text>
    </comment>
    <comment ref="S35" authorId="0" shapeId="0" xr:uid="{D03CA8BC-603B-4CA5-B6B5-68104958A241}">
      <text>
        <r>
          <rPr>
            <b/>
            <sz val="9"/>
            <color indexed="81"/>
            <rFont val="Tahoma"/>
            <family val="2"/>
          </rPr>
          <t>Chris Onysko:</t>
        </r>
        <r>
          <rPr>
            <sz val="9"/>
            <color indexed="81"/>
            <rFont val="Tahoma"/>
            <family val="2"/>
          </rPr>
          <t xml:space="preserve">
Carbon offset cost is cost per kgCO2e</t>
        </r>
      </text>
    </comment>
    <comment ref="C36" authorId="0" shapeId="0" xr:uid="{A7E23610-D47E-4FAE-8AE5-147EEC65A81C}">
      <text>
        <r>
          <rPr>
            <b/>
            <sz val="9"/>
            <color indexed="81"/>
            <rFont val="Tahoma"/>
            <family val="2"/>
          </rPr>
          <t>CaGBC:</t>
        </r>
        <r>
          <rPr>
            <sz val="9"/>
            <color indexed="81"/>
            <rFont val="Tahoma"/>
            <family val="2"/>
          </rPr>
          <t xml:space="preserve">
Additional utilities can be added from the drop-down list. 
If duplicate utilities are added, only the first one will be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Onysko</author>
    <author>Eric Chisholm</author>
  </authors>
  <commentList>
    <comment ref="E11" authorId="0" shapeId="0" xr:uid="{CB5074C0-8F00-4C26-8FFD-D8B807D791CE}">
      <text>
        <r>
          <rPr>
            <b/>
            <sz val="9"/>
            <color indexed="81"/>
            <rFont val="Tahoma"/>
            <family val="2"/>
          </rPr>
          <t>CaGBC:</t>
        </r>
        <r>
          <rPr>
            <sz val="9"/>
            <color indexed="81"/>
            <rFont val="Tahoma"/>
            <family val="2"/>
          </rPr>
          <t xml:space="preserve">
A base-case name must be entered to see values on the Results tab</t>
        </r>
      </text>
    </comment>
    <comment ref="J11" authorId="1" shapeId="0" xr:uid="{3B82A90B-9E4E-420F-B830-2566587A03CE}">
      <text>
        <r>
          <rPr>
            <b/>
            <sz val="9"/>
            <color indexed="81"/>
            <rFont val="Tahoma"/>
            <family val="2"/>
          </rPr>
          <t>CaGBC:</t>
        </r>
        <r>
          <rPr>
            <sz val="9"/>
            <color indexed="81"/>
            <rFont val="Tahoma"/>
            <family val="2"/>
          </rPr>
          <t xml:space="preserve">
ZCB requires a combustion-free scenario to be compared to a base case.</t>
        </r>
      </text>
    </comment>
    <comment ref="C13" authorId="0" shapeId="0" xr:uid="{A39C92F3-29D6-4353-9F81-2781D24D85F0}">
      <text>
        <r>
          <rPr>
            <b/>
            <sz val="9"/>
            <color indexed="81"/>
            <rFont val="Tahoma"/>
            <family val="2"/>
          </rPr>
          <t>CaGBC:</t>
        </r>
        <r>
          <rPr>
            <sz val="9"/>
            <color indexed="81"/>
            <rFont val="Tahoma"/>
            <family val="2"/>
          </rPr>
          <t xml:space="preserve">
Add all combustion equipment, or its replaced alternative. Other relevant energy-consuming or energy-generating equipment can also be added.
Don't add RECs or Carbon Offsets - these will be automatically calculated in the Results worksheet.</t>
        </r>
      </text>
    </comment>
    <comment ref="E13" authorId="0" shapeId="0" xr:uid="{F1E4C1F4-871F-42EC-B615-48923F4D8D93}">
      <text>
        <r>
          <rPr>
            <b/>
            <sz val="9"/>
            <color indexed="81"/>
            <rFont val="Tahoma"/>
            <family val="2"/>
          </rPr>
          <t>CaGBC:</t>
        </r>
        <r>
          <rPr>
            <sz val="9"/>
            <color indexed="81"/>
            <rFont val="Tahoma"/>
            <family val="2"/>
          </rPr>
          <t xml:space="preserve">
Enter the type of utility that the equipment consumes. If an item consumes multiple types of utilities, list the measure multiple times, and enter the consumption for each utility it uses.</t>
        </r>
      </text>
    </comment>
    <comment ref="I13" authorId="1" shapeId="0" xr:uid="{0032165E-1A76-4262-A100-22586EB6A801}">
      <text>
        <r>
          <rPr>
            <b/>
            <sz val="9"/>
            <color indexed="81"/>
            <rFont val="Tahoma"/>
            <family val="2"/>
          </rPr>
          <t>CaGBC:</t>
        </r>
        <r>
          <rPr>
            <sz val="9"/>
            <color indexed="81"/>
            <rFont val="Tahoma"/>
            <family val="2"/>
          </rPr>
          <t xml:space="preserve">
Annual kg CO2e
</t>
        </r>
      </text>
    </comment>
    <comment ref="J13" authorId="1" shapeId="0" xr:uid="{4DFCC9EC-079F-4065-AA4D-273FB7F9DE5F}">
      <text>
        <r>
          <rPr>
            <b/>
            <sz val="9"/>
            <color indexed="81"/>
            <rFont val="Tahoma"/>
            <family val="2"/>
          </rPr>
          <t>CaGBC:</t>
        </r>
        <r>
          <rPr>
            <sz val="9"/>
            <color indexed="81"/>
            <rFont val="Tahoma"/>
            <family val="2"/>
          </rPr>
          <t xml:space="preserve">
Annual kg CO2e</t>
        </r>
      </text>
    </comment>
    <comment ref="K13" authorId="0" shapeId="0" xr:uid="{CC2628DA-0E45-4D63-8420-42BE687C17F3}">
      <text>
        <r>
          <rPr>
            <b/>
            <sz val="9"/>
            <color indexed="81"/>
            <rFont val="Tahoma"/>
            <family val="2"/>
          </rPr>
          <t>CaGBC:</t>
        </r>
        <r>
          <rPr>
            <sz val="9"/>
            <color indexed="81"/>
            <rFont val="Tahoma"/>
            <family val="2"/>
          </rPr>
          <t xml:space="preserve">
Enter the expected lifetime of the equipment (its age when it will need to be replaced)</t>
        </r>
      </text>
    </comment>
    <comment ref="L13" authorId="0" shapeId="0" xr:uid="{57E04093-32A5-4691-AAC0-32C65BB0D644}">
      <text>
        <r>
          <rPr>
            <b/>
            <sz val="9"/>
            <color indexed="81"/>
            <rFont val="Tahoma"/>
            <family val="2"/>
          </rPr>
          <t>CaGBC:</t>
        </r>
        <r>
          <rPr>
            <sz val="9"/>
            <color indexed="81"/>
            <rFont val="Tahoma"/>
            <family val="2"/>
          </rPr>
          <t xml:space="preserve">
Enter the current age of the equipment. If the equipment is being newly installed, enter "0"
NOTE: If the current age exceeds the lifetime of the equipment, it is assumed to be replaced immediately</t>
        </r>
      </text>
    </comment>
    <comment ref="N13" authorId="0" shapeId="0" xr:uid="{5B8B0808-FA6E-423A-93E3-BABE653596FB}">
      <text>
        <r>
          <rPr>
            <b/>
            <sz val="9"/>
            <color indexed="81"/>
            <rFont val="Tahoma"/>
            <family val="2"/>
          </rPr>
          <t>CaGBC:</t>
        </r>
        <r>
          <rPr>
            <sz val="9"/>
            <color indexed="81"/>
            <rFont val="Tahoma"/>
            <family val="2"/>
          </rPr>
          <t xml:space="preserve">
The cost each time equipment is replaced will equal Capital Cost less the Incentive Value</t>
        </r>
      </text>
    </comment>
    <comment ref="P13" authorId="0" shapeId="0" xr:uid="{610D62B6-38AF-44F8-970F-D824C99F8A67}">
      <text>
        <r>
          <rPr>
            <b/>
            <sz val="9"/>
            <color indexed="81"/>
            <rFont val="Tahoma"/>
            <family val="2"/>
          </rPr>
          <t>CaGBC:</t>
        </r>
        <r>
          <rPr>
            <sz val="9"/>
            <color indexed="81"/>
            <rFont val="Tahoma"/>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E30" authorId="0" shapeId="0" xr:uid="{FB8950C6-E9D2-4545-9CA0-E56A3DE98EC4}">
      <text>
        <r>
          <rPr>
            <b/>
            <sz val="9"/>
            <color indexed="81"/>
            <rFont val="Tahoma"/>
            <family val="2"/>
          </rPr>
          <t>CaGBC:</t>
        </r>
        <r>
          <rPr>
            <sz val="9"/>
            <color indexed="81"/>
            <rFont val="Tahoma"/>
            <family val="2"/>
          </rPr>
          <t xml:space="preserve">
Entering a value other than 0 into the "User-Reported Total" row will use that value in the financial analysis, instead of the automatically calculated sum of the individual equipment and measures that were created</t>
        </r>
      </text>
    </comment>
    <comment ref="F30" authorId="0" shapeId="0" xr:uid="{E4FF7834-3E42-4519-92F6-7A5E37207EDD}">
      <text>
        <r>
          <rPr>
            <b/>
            <sz val="9"/>
            <color indexed="81"/>
            <rFont val="Tahoma"/>
            <family val="2"/>
          </rPr>
          <t>CaGBC:</t>
        </r>
        <r>
          <rPr>
            <sz val="9"/>
            <color indexed="81"/>
            <rFont val="Tahoma"/>
            <family val="2"/>
          </rPr>
          <t xml:space="preserve">
The user-reported total will be allocated between utility types as a weighted average of line-by-line consumption reported above.</t>
        </r>
      </text>
    </comment>
    <comment ref="H30" authorId="0" shapeId="0" xr:uid="{22A13CFE-6074-4C73-9A6E-030464821DC1}">
      <text>
        <r>
          <rPr>
            <b/>
            <sz val="9"/>
            <color indexed="81"/>
            <rFont val="Tahoma"/>
            <family val="2"/>
          </rPr>
          <t>CaGBC:</t>
        </r>
        <r>
          <rPr>
            <sz val="9"/>
            <color indexed="81"/>
            <rFont val="Tahoma"/>
            <family val="2"/>
          </rPr>
          <t xml:space="preserve">
The user-reported total will be allocated between utility types as a weighted average of line-by-line cost reported above.</t>
        </r>
      </text>
    </comment>
    <comment ref="I30" authorId="0" shapeId="0" xr:uid="{B95D134C-9FC5-4567-ACC6-F30F02B572B4}">
      <text>
        <r>
          <rPr>
            <b/>
            <sz val="9"/>
            <color indexed="81"/>
            <rFont val="Tahoma"/>
            <family val="2"/>
          </rPr>
          <t>CaGBC:</t>
        </r>
        <r>
          <rPr>
            <sz val="9"/>
            <color indexed="81"/>
            <rFont val="Tahoma"/>
            <family val="2"/>
          </rPr>
          <t xml:space="preserve">
The Equipment/Measures list must include at least one electrical utility item if you intend to provide a user-reported total.</t>
        </r>
      </text>
    </comment>
    <comment ref="J30" authorId="0" shapeId="0" xr:uid="{17E3B27A-1BD5-4C82-B14E-03B0156B2C2E}">
      <text>
        <r>
          <rPr>
            <b/>
            <sz val="9"/>
            <color indexed="81"/>
            <rFont val="Tahoma"/>
            <family val="2"/>
          </rPr>
          <t>CaGBC:</t>
        </r>
        <r>
          <rPr>
            <sz val="9"/>
            <color indexed="81"/>
            <rFont val="Tahoma"/>
            <family val="2"/>
          </rPr>
          <t xml:space="preserve">
The Equipment/Measures list must include at least one non-electrical utility item if you intend to provide a user-reported total.</t>
        </r>
      </text>
    </comment>
    <comment ref="E36" authorId="0" shapeId="0" xr:uid="{EB55B27D-84B5-4412-B3D1-1F8903A92C0D}">
      <text>
        <r>
          <rPr>
            <b/>
            <sz val="9"/>
            <color indexed="81"/>
            <rFont val="Tahoma"/>
            <family val="2"/>
          </rPr>
          <t>CaGBC:</t>
        </r>
        <r>
          <rPr>
            <sz val="9"/>
            <color indexed="81"/>
            <rFont val="Tahoma"/>
            <family val="2"/>
          </rPr>
          <t xml:space="preserve">
A scenario name must be entered to see values on the Results tab</t>
        </r>
      </text>
    </comment>
    <comment ref="J36" authorId="1" shapeId="0" xr:uid="{FAE8972F-935A-4235-A9D6-EF5314B67877}">
      <text>
        <r>
          <rPr>
            <b/>
            <sz val="9"/>
            <color indexed="81"/>
            <rFont val="Tahoma"/>
            <family val="2"/>
          </rPr>
          <t>CaGBC:</t>
        </r>
        <r>
          <rPr>
            <sz val="9"/>
            <color indexed="81"/>
            <rFont val="Tahoma"/>
            <family val="2"/>
          </rPr>
          <t xml:space="preserve">
ZCB requires a combustion-free scenario to be compared to a base case.</t>
        </r>
      </text>
    </comment>
    <comment ref="C38" authorId="0" shapeId="0" xr:uid="{57860F3A-D1CC-4A34-9C56-B7A3F48BB24B}">
      <text>
        <r>
          <rPr>
            <b/>
            <sz val="9"/>
            <color indexed="81"/>
            <rFont val="Tahoma"/>
            <family val="2"/>
          </rPr>
          <t>CaGBC:</t>
        </r>
        <r>
          <rPr>
            <sz val="9"/>
            <color indexed="81"/>
            <rFont val="Tahoma"/>
            <family val="2"/>
          </rPr>
          <t xml:space="preserve">
Add all combustion equipment, or its replaced alternative. Other relevant energy-consuming or energy-generating equipment can also be added.
Don't add RECs or Carbon Offsets - these will be automatically calculated in the Results worksheet.</t>
        </r>
      </text>
    </comment>
    <comment ref="E38" authorId="0" shapeId="0" xr:uid="{978705F4-AFAF-4934-9B64-F43EE2D6041A}">
      <text>
        <r>
          <rPr>
            <b/>
            <sz val="9"/>
            <color indexed="81"/>
            <rFont val="Tahoma"/>
            <family val="2"/>
          </rPr>
          <t>CaGBC:</t>
        </r>
        <r>
          <rPr>
            <sz val="9"/>
            <color indexed="81"/>
            <rFont val="Tahoma"/>
            <family val="2"/>
          </rPr>
          <t xml:space="preserve">
Enter the type of utility that the equipment consumes. If an item consumes multiple types of utilities, list the measure multiple times, and enter the consumption for each utility it uses.</t>
        </r>
      </text>
    </comment>
    <comment ref="I38" authorId="1" shapeId="0" xr:uid="{22B58068-D876-4CB6-B375-F6389CC95616}">
      <text>
        <r>
          <rPr>
            <b/>
            <sz val="9"/>
            <color indexed="81"/>
            <rFont val="Tahoma"/>
            <family val="2"/>
          </rPr>
          <t>CaGBC:</t>
        </r>
        <r>
          <rPr>
            <sz val="9"/>
            <color indexed="81"/>
            <rFont val="Tahoma"/>
            <family val="2"/>
          </rPr>
          <t xml:space="preserve">
Annual kg CO2e
</t>
        </r>
      </text>
    </comment>
    <comment ref="J38" authorId="1" shapeId="0" xr:uid="{F75112FD-8890-4A81-9AE7-E152AF7CBC0A}">
      <text>
        <r>
          <rPr>
            <b/>
            <sz val="9"/>
            <color indexed="81"/>
            <rFont val="Tahoma"/>
            <family val="2"/>
          </rPr>
          <t>CaGBC:</t>
        </r>
        <r>
          <rPr>
            <sz val="9"/>
            <color indexed="81"/>
            <rFont val="Tahoma"/>
            <family val="2"/>
          </rPr>
          <t xml:space="preserve">
Annual kg CO2e</t>
        </r>
      </text>
    </comment>
    <comment ref="K38" authorId="0" shapeId="0" xr:uid="{28829110-47E9-4C31-A8F3-CCC5782B6149}">
      <text>
        <r>
          <rPr>
            <b/>
            <sz val="9"/>
            <color indexed="81"/>
            <rFont val="Tahoma"/>
            <family val="2"/>
          </rPr>
          <t>CaGBC:</t>
        </r>
        <r>
          <rPr>
            <sz val="9"/>
            <color indexed="81"/>
            <rFont val="Tahoma"/>
            <family val="2"/>
          </rPr>
          <t xml:space="preserve">
Enter the expected lifetime of the equipment (its age when it will need to be replaced)</t>
        </r>
      </text>
    </comment>
    <comment ref="L38" authorId="0" shapeId="0" xr:uid="{C5B188A8-1E2C-4768-8AFC-882DB4BD34CC}">
      <text>
        <r>
          <rPr>
            <b/>
            <sz val="9"/>
            <color indexed="81"/>
            <rFont val="Tahoma"/>
            <family val="2"/>
          </rPr>
          <t>CaGBC:</t>
        </r>
        <r>
          <rPr>
            <sz val="9"/>
            <color indexed="81"/>
            <rFont val="Tahoma"/>
            <family val="2"/>
          </rPr>
          <t xml:space="preserve">
Enter the current age of the equipment. If the equipment is being newly installed, enter "0"
NOTE: If the current age exceeds the lifetime of the equipment, it is assumed to be replaced immediately</t>
        </r>
      </text>
    </comment>
    <comment ref="N38" authorId="0" shapeId="0" xr:uid="{0DE677ED-C0D8-423F-870C-A47E8CD064ED}">
      <text>
        <r>
          <rPr>
            <b/>
            <sz val="9"/>
            <color indexed="81"/>
            <rFont val="Tahoma"/>
            <family val="2"/>
          </rPr>
          <t>CaGBC:</t>
        </r>
        <r>
          <rPr>
            <sz val="9"/>
            <color indexed="81"/>
            <rFont val="Tahoma"/>
            <family val="2"/>
          </rPr>
          <t xml:space="preserve">
The cost each time equipment is replaced will equal Capital Cost less the Incentive Value</t>
        </r>
      </text>
    </comment>
    <comment ref="P38" authorId="0" shapeId="0" xr:uid="{C4ACA876-B3D9-4ADA-AB2E-1A95C115142A}">
      <text>
        <r>
          <rPr>
            <b/>
            <sz val="9"/>
            <color indexed="81"/>
            <rFont val="Tahoma"/>
            <family val="2"/>
          </rPr>
          <t>CaGBC:</t>
        </r>
        <r>
          <rPr>
            <sz val="9"/>
            <color indexed="81"/>
            <rFont val="Tahoma"/>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E55" authorId="0" shapeId="0" xr:uid="{D95ADE74-F8D7-45A6-BD50-2F5CC8993279}">
      <text>
        <r>
          <rPr>
            <b/>
            <sz val="9"/>
            <color indexed="81"/>
            <rFont val="Tahoma"/>
            <family val="2"/>
          </rPr>
          <t>CaGBC:</t>
        </r>
        <r>
          <rPr>
            <sz val="9"/>
            <color indexed="81"/>
            <rFont val="Tahoma"/>
            <family val="2"/>
          </rPr>
          <t xml:space="preserve">
Entering a value other than 0 into the "User-Reported Total" row will use that value in the financial analysis, instead of the automatically calculated sum of the individual equipment and measures that were created</t>
        </r>
      </text>
    </comment>
    <comment ref="F55" authorId="0" shapeId="0" xr:uid="{FD03FD70-47D1-4827-893D-6CF9199DC869}">
      <text>
        <r>
          <rPr>
            <b/>
            <sz val="9"/>
            <color indexed="81"/>
            <rFont val="Tahoma"/>
            <family val="2"/>
          </rPr>
          <t>CaGBC:</t>
        </r>
        <r>
          <rPr>
            <sz val="9"/>
            <color indexed="81"/>
            <rFont val="Tahoma"/>
            <family val="2"/>
          </rPr>
          <t xml:space="preserve">
The user-reported total will be allocated between utility types as a weighted average of line-by-line consumption reported above.</t>
        </r>
      </text>
    </comment>
    <comment ref="H55" authorId="0" shapeId="0" xr:uid="{D7E49E13-6871-4151-9919-516AD64F0692}">
      <text>
        <r>
          <rPr>
            <b/>
            <sz val="9"/>
            <color indexed="81"/>
            <rFont val="Tahoma"/>
            <family val="2"/>
          </rPr>
          <t>CaGBC:</t>
        </r>
        <r>
          <rPr>
            <sz val="9"/>
            <color indexed="81"/>
            <rFont val="Tahoma"/>
            <family val="2"/>
          </rPr>
          <t xml:space="preserve">
The user-reported total will be allocated between utility types as a weighted average of line-by-line cost reported above.</t>
        </r>
      </text>
    </comment>
    <comment ref="I55" authorId="0" shapeId="0" xr:uid="{4F138D3B-B8E1-4F14-93CB-1FDAACCCF10E}">
      <text>
        <r>
          <rPr>
            <b/>
            <sz val="9"/>
            <color indexed="81"/>
            <rFont val="Tahoma"/>
            <family val="2"/>
          </rPr>
          <t>CaGBC:</t>
        </r>
        <r>
          <rPr>
            <sz val="9"/>
            <color indexed="81"/>
            <rFont val="Tahoma"/>
            <family val="2"/>
          </rPr>
          <t xml:space="preserve">
The Equipment/Measures list must include at least one electrical utility item if you intend to provide a user-reported total.</t>
        </r>
      </text>
    </comment>
    <comment ref="J55" authorId="0" shapeId="0" xr:uid="{ED9DAD84-5A33-40C7-B791-87E9ACF3D1DE}">
      <text>
        <r>
          <rPr>
            <b/>
            <sz val="9"/>
            <color indexed="81"/>
            <rFont val="Tahoma"/>
            <family val="2"/>
          </rPr>
          <t>CaGBC:</t>
        </r>
        <r>
          <rPr>
            <sz val="9"/>
            <color indexed="81"/>
            <rFont val="Tahoma"/>
            <family val="2"/>
          </rPr>
          <t xml:space="preserve">
The Equipment/Measures list must include at least one non-electrical utility item if you intend to provide a user-reported total.</t>
        </r>
      </text>
    </comment>
    <comment ref="E61" authorId="0" shapeId="0" xr:uid="{04422BC7-B9CA-4A65-AE78-A0ED07A21028}">
      <text>
        <r>
          <rPr>
            <b/>
            <sz val="9"/>
            <color indexed="81"/>
            <rFont val="Tahoma"/>
            <family val="2"/>
          </rPr>
          <t>CaGBC:</t>
        </r>
        <r>
          <rPr>
            <sz val="9"/>
            <color indexed="81"/>
            <rFont val="Tahoma"/>
            <family val="2"/>
          </rPr>
          <t xml:space="preserve">
A scenario name must be entered to see values on the Results tab</t>
        </r>
      </text>
    </comment>
    <comment ref="J61" authorId="0" shapeId="0" xr:uid="{1BB81976-83DB-48C7-B66C-FC1544040CA5}">
      <text>
        <r>
          <rPr>
            <b/>
            <sz val="9"/>
            <color indexed="81"/>
            <rFont val="Tahoma"/>
            <family val="2"/>
          </rPr>
          <t xml:space="preserve">CaGBC:
</t>
        </r>
        <r>
          <rPr>
            <sz val="9"/>
            <color indexed="81"/>
            <rFont val="Tahoma"/>
            <family val="2"/>
          </rPr>
          <t>ZCB requires a combustion-free scenario to be compared to a base case.</t>
        </r>
      </text>
    </comment>
    <comment ref="C63" authorId="0" shapeId="0" xr:uid="{09C588A3-1584-41AA-8653-13968C8AD521}">
      <text>
        <r>
          <rPr>
            <b/>
            <sz val="9"/>
            <color indexed="81"/>
            <rFont val="Tahoma"/>
            <family val="2"/>
          </rPr>
          <t>CaGBC:</t>
        </r>
        <r>
          <rPr>
            <sz val="9"/>
            <color indexed="81"/>
            <rFont val="Tahoma"/>
            <family val="2"/>
          </rPr>
          <t xml:space="preserve">
Add all combustion equipment, or its replaced alternative. Other relevant energy-consuming or energy-generating equipment can also be added.
Don't add RECs or Carbon Offsets - these will be automatically calculated in the Results worksheet.</t>
        </r>
      </text>
    </comment>
    <comment ref="E63" authorId="0" shapeId="0" xr:uid="{BEE3DCAE-7D82-498A-AB76-445F2876CACB}">
      <text>
        <r>
          <rPr>
            <b/>
            <sz val="9"/>
            <color indexed="81"/>
            <rFont val="Tahoma"/>
            <family val="2"/>
          </rPr>
          <t>CaGBC:</t>
        </r>
        <r>
          <rPr>
            <sz val="9"/>
            <color indexed="81"/>
            <rFont val="Tahoma"/>
            <family val="2"/>
          </rPr>
          <t xml:space="preserve">
Enter the type of utility that the equipment consumes. If an item consumes multiple types of utilities, list the measure multiple times, and enter the consumption for each utility it uses.</t>
        </r>
      </text>
    </comment>
    <comment ref="I63" authorId="1" shapeId="0" xr:uid="{25C6DC2A-0A70-4A1E-9035-16452973A324}">
      <text>
        <r>
          <rPr>
            <b/>
            <sz val="9"/>
            <color indexed="81"/>
            <rFont val="Tahoma"/>
            <family val="2"/>
          </rPr>
          <t>CaGBC:</t>
        </r>
        <r>
          <rPr>
            <sz val="9"/>
            <color indexed="81"/>
            <rFont val="Tahoma"/>
            <family val="2"/>
          </rPr>
          <t xml:space="preserve">
Annual kg CO2e
</t>
        </r>
      </text>
    </comment>
    <comment ref="J63" authorId="1" shapeId="0" xr:uid="{60423890-6C04-463B-B5D2-DCAD8098E8A3}">
      <text>
        <r>
          <rPr>
            <b/>
            <sz val="9"/>
            <color indexed="81"/>
            <rFont val="Tahoma"/>
            <family val="2"/>
          </rPr>
          <t>CaGBC:</t>
        </r>
        <r>
          <rPr>
            <sz val="9"/>
            <color indexed="81"/>
            <rFont val="Tahoma"/>
            <family val="2"/>
          </rPr>
          <t xml:space="preserve">
Annual kg CO2e</t>
        </r>
      </text>
    </comment>
    <comment ref="K63" authorId="0" shapeId="0" xr:uid="{9AE947CD-DDF7-47B0-AB02-F947CF173B25}">
      <text>
        <r>
          <rPr>
            <b/>
            <sz val="9"/>
            <color indexed="81"/>
            <rFont val="Tahoma"/>
            <family val="2"/>
          </rPr>
          <t>CaGBC:</t>
        </r>
        <r>
          <rPr>
            <sz val="9"/>
            <color indexed="81"/>
            <rFont val="Tahoma"/>
            <family val="2"/>
          </rPr>
          <t xml:space="preserve">
Enter the expected lifetime of the equipment (its age when it will need to be replaced)</t>
        </r>
      </text>
    </comment>
    <comment ref="L63" authorId="0" shapeId="0" xr:uid="{92133020-9741-423C-AE6F-DF61EBE1A166}">
      <text>
        <r>
          <rPr>
            <b/>
            <sz val="9"/>
            <color indexed="81"/>
            <rFont val="Tahoma"/>
            <family val="2"/>
          </rPr>
          <t>CaGBC:</t>
        </r>
        <r>
          <rPr>
            <sz val="9"/>
            <color indexed="81"/>
            <rFont val="Tahoma"/>
            <family val="2"/>
          </rPr>
          <t xml:space="preserve">
Enter the current age of the equipment. If the equipment is being newly installed, enter "0"
NOTE: If the current age exceeds the lifetime of the equipment, it is assumed to be replaced immediately</t>
        </r>
      </text>
    </comment>
    <comment ref="N63" authorId="0" shapeId="0" xr:uid="{EBF90B6D-BA92-4620-8125-1ED439D81FDF}">
      <text>
        <r>
          <rPr>
            <b/>
            <sz val="9"/>
            <color indexed="81"/>
            <rFont val="Tahoma"/>
            <family val="2"/>
          </rPr>
          <t>CaGBC:</t>
        </r>
        <r>
          <rPr>
            <sz val="9"/>
            <color indexed="81"/>
            <rFont val="Tahoma"/>
            <family val="2"/>
          </rPr>
          <t xml:space="preserve">
The cost each time equipment is replaced will equal Capital Cost less the Incentive Value</t>
        </r>
      </text>
    </comment>
    <comment ref="P63" authorId="0" shapeId="0" xr:uid="{43A26666-DB68-45F4-B3DE-D2BA49BDEAFB}">
      <text>
        <r>
          <rPr>
            <b/>
            <sz val="9"/>
            <color indexed="81"/>
            <rFont val="Tahoma"/>
            <family val="2"/>
          </rPr>
          <t>CaGBC:</t>
        </r>
        <r>
          <rPr>
            <sz val="9"/>
            <color indexed="81"/>
            <rFont val="Tahoma"/>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E80" authorId="0" shapeId="0" xr:uid="{19CE38DF-2173-498A-9832-A1A25F0F7609}">
      <text>
        <r>
          <rPr>
            <b/>
            <sz val="9"/>
            <color indexed="81"/>
            <rFont val="Tahoma"/>
            <family val="2"/>
          </rPr>
          <t>CaGBC:</t>
        </r>
        <r>
          <rPr>
            <sz val="9"/>
            <color indexed="81"/>
            <rFont val="Tahoma"/>
            <family val="2"/>
          </rPr>
          <t xml:space="preserve">
Entering a value other than 0 into the "User-Reported Total" row will use that value in the financial analysis, instead of the automatically calculated sum of the individual equipment and measures that were created</t>
        </r>
      </text>
    </comment>
    <comment ref="F80" authorId="0" shapeId="0" xr:uid="{2DF12928-DC9B-4C99-8463-C28EDDBD4B07}">
      <text>
        <r>
          <rPr>
            <b/>
            <sz val="9"/>
            <color indexed="81"/>
            <rFont val="Tahoma"/>
            <family val="2"/>
          </rPr>
          <t>CaGBC:</t>
        </r>
        <r>
          <rPr>
            <sz val="9"/>
            <color indexed="81"/>
            <rFont val="Tahoma"/>
            <family val="2"/>
          </rPr>
          <t xml:space="preserve">
The user-reported total will be allocated between utility types as a weighted average of line-by-line consumption reported above.</t>
        </r>
      </text>
    </comment>
    <comment ref="H80" authorId="0" shapeId="0" xr:uid="{0F65C749-577F-4D36-B42D-1876403EC668}">
      <text>
        <r>
          <rPr>
            <b/>
            <sz val="9"/>
            <color indexed="81"/>
            <rFont val="Tahoma"/>
            <family val="2"/>
          </rPr>
          <t>CaGBC:</t>
        </r>
        <r>
          <rPr>
            <sz val="9"/>
            <color indexed="81"/>
            <rFont val="Tahoma"/>
            <family val="2"/>
          </rPr>
          <t xml:space="preserve">
The user-reported total will be allocated between utility types as a weighted average of line-by-line cost reported above.</t>
        </r>
      </text>
    </comment>
    <comment ref="I80" authorId="0" shapeId="0" xr:uid="{E71A246B-1790-450E-959E-75DD154E9180}">
      <text>
        <r>
          <rPr>
            <b/>
            <sz val="9"/>
            <color indexed="81"/>
            <rFont val="Tahoma"/>
            <family val="2"/>
          </rPr>
          <t>CaGBC:</t>
        </r>
        <r>
          <rPr>
            <sz val="9"/>
            <color indexed="81"/>
            <rFont val="Tahoma"/>
            <family val="2"/>
          </rPr>
          <t xml:space="preserve">
The Equipment/Measures list must include at least one electrical utility item if you intend to provide a user-reported total.</t>
        </r>
      </text>
    </comment>
    <comment ref="J80" authorId="0" shapeId="0" xr:uid="{5DA517A4-70E1-40C9-9794-717DDCF7F303}">
      <text>
        <r>
          <rPr>
            <b/>
            <sz val="9"/>
            <color indexed="81"/>
            <rFont val="Tahoma"/>
            <family val="2"/>
          </rPr>
          <t>CaGBC:</t>
        </r>
        <r>
          <rPr>
            <sz val="9"/>
            <color indexed="81"/>
            <rFont val="Tahoma"/>
            <family val="2"/>
          </rPr>
          <t xml:space="preserve">
The Equipment/Measures list must include at least one non-electrical utility item if you intend to provide a user-reported total.</t>
        </r>
      </text>
    </comment>
    <comment ref="E86" authorId="0" shapeId="0" xr:uid="{02A39C46-32D6-45C5-B6F7-B1A34447C4C6}">
      <text>
        <r>
          <rPr>
            <b/>
            <sz val="9"/>
            <color indexed="81"/>
            <rFont val="Tahoma"/>
            <family val="2"/>
          </rPr>
          <t>CaGBC:</t>
        </r>
        <r>
          <rPr>
            <sz val="9"/>
            <color indexed="81"/>
            <rFont val="Tahoma"/>
            <family val="2"/>
          </rPr>
          <t xml:space="preserve">
A scenario name must be entered to see values on the Results tab</t>
        </r>
      </text>
    </comment>
    <comment ref="J86" authorId="0" shapeId="0" xr:uid="{3BD998D1-F138-46C1-95C8-7D72D63702DE}">
      <text>
        <r>
          <rPr>
            <b/>
            <sz val="9"/>
            <color indexed="81"/>
            <rFont val="Tahoma"/>
            <family val="2"/>
          </rPr>
          <t xml:space="preserve">CaGBC:
</t>
        </r>
        <r>
          <rPr>
            <sz val="9"/>
            <color indexed="81"/>
            <rFont val="Tahoma"/>
            <family val="2"/>
          </rPr>
          <t>ZCB requires a combustion-free scenario to be compared to a base case.</t>
        </r>
      </text>
    </comment>
    <comment ref="C88" authorId="0" shapeId="0" xr:uid="{1CE9ED94-E4CD-44A9-A7F6-E181702F245C}">
      <text>
        <r>
          <rPr>
            <b/>
            <sz val="9"/>
            <color indexed="81"/>
            <rFont val="Tahoma"/>
            <family val="2"/>
          </rPr>
          <t>CaGBC:</t>
        </r>
        <r>
          <rPr>
            <sz val="9"/>
            <color indexed="81"/>
            <rFont val="Tahoma"/>
            <family val="2"/>
          </rPr>
          <t xml:space="preserve">
Add all combustion equipment, or its replaced alternative. Other relevant energy-consuming or energy-generating equipment can also be added.
Don't add RECs or Carbon Offsets - these will be automatically calculated in the Results worksheet.</t>
        </r>
      </text>
    </comment>
    <comment ref="E88" authorId="0" shapeId="0" xr:uid="{743A6246-17FB-4B76-96CA-E2A1E1CC4160}">
      <text>
        <r>
          <rPr>
            <b/>
            <sz val="9"/>
            <color indexed="81"/>
            <rFont val="Tahoma"/>
            <family val="2"/>
          </rPr>
          <t>CaGBC:</t>
        </r>
        <r>
          <rPr>
            <sz val="9"/>
            <color indexed="81"/>
            <rFont val="Tahoma"/>
            <family val="2"/>
          </rPr>
          <t xml:space="preserve">
Enter the type of utility that the equipment consumes. If an item consumes multiple types of utilities, list the measure multiple times, and enter the consumption for each utility it uses.</t>
        </r>
      </text>
    </comment>
    <comment ref="I88" authorId="1" shapeId="0" xr:uid="{8BF5EBAF-321F-46B8-A7E5-E187F84EF815}">
      <text>
        <r>
          <rPr>
            <b/>
            <sz val="9"/>
            <color indexed="81"/>
            <rFont val="Tahoma"/>
            <family val="2"/>
          </rPr>
          <t>CaGBC:</t>
        </r>
        <r>
          <rPr>
            <sz val="9"/>
            <color indexed="81"/>
            <rFont val="Tahoma"/>
            <family val="2"/>
          </rPr>
          <t xml:space="preserve">
Annual kg CO2e
</t>
        </r>
      </text>
    </comment>
    <comment ref="J88" authorId="1" shapeId="0" xr:uid="{1F511265-6B79-493B-9338-67CEB9757A0E}">
      <text>
        <r>
          <rPr>
            <b/>
            <sz val="9"/>
            <color indexed="81"/>
            <rFont val="Tahoma"/>
            <family val="2"/>
          </rPr>
          <t>CaGBC:</t>
        </r>
        <r>
          <rPr>
            <sz val="9"/>
            <color indexed="81"/>
            <rFont val="Tahoma"/>
            <family val="2"/>
          </rPr>
          <t xml:space="preserve">
Annual kg CO2e</t>
        </r>
      </text>
    </comment>
    <comment ref="K88" authorId="0" shapeId="0" xr:uid="{237940D0-CFBD-422D-B32B-349F5EFBD888}">
      <text>
        <r>
          <rPr>
            <b/>
            <sz val="9"/>
            <color indexed="81"/>
            <rFont val="Tahoma"/>
            <family val="2"/>
          </rPr>
          <t>CaGBC:</t>
        </r>
        <r>
          <rPr>
            <sz val="9"/>
            <color indexed="81"/>
            <rFont val="Tahoma"/>
            <family val="2"/>
          </rPr>
          <t xml:space="preserve">
Enter the expected lifetime of the equipment (its age when it will need to be replaced)</t>
        </r>
      </text>
    </comment>
    <comment ref="L88" authorId="0" shapeId="0" xr:uid="{005CEF59-1304-4A20-89EC-F2D952C6AED5}">
      <text>
        <r>
          <rPr>
            <b/>
            <sz val="9"/>
            <color indexed="81"/>
            <rFont val="Tahoma"/>
            <family val="2"/>
          </rPr>
          <t>CaGBC:</t>
        </r>
        <r>
          <rPr>
            <sz val="9"/>
            <color indexed="81"/>
            <rFont val="Tahoma"/>
            <family val="2"/>
          </rPr>
          <t xml:space="preserve">
Enter the current age of the equipment. If the equipment is being newly installed, enter "0"
NOTE: If the current age exceeds the lifetime of the equipment, it is assumed to be replaced immediately</t>
        </r>
      </text>
    </comment>
    <comment ref="N88" authorId="0" shapeId="0" xr:uid="{BE708279-BB3A-4EAC-B8C1-BBFB0DBED1E4}">
      <text>
        <r>
          <rPr>
            <b/>
            <sz val="9"/>
            <color indexed="81"/>
            <rFont val="Tahoma"/>
            <family val="2"/>
          </rPr>
          <t>CaGBC:</t>
        </r>
        <r>
          <rPr>
            <sz val="9"/>
            <color indexed="81"/>
            <rFont val="Tahoma"/>
            <family val="2"/>
          </rPr>
          <t xml:space="preserve">
The cost each time equipment is replaced will equal Capital Cost less the Incentive Value</t>
        </r>
      </text>
    </comment>
    <comment ref="P88" authorId="0" shapeId="0" xr:uid="{CCD75342-F8EA-4861-9CEF-136475754BA5}">
      <text>
        <r>
          <rPr>
            <b/>
            <sz val="9"/>
            <color indexed="81"/>
            <rFont val="Tahoma"/>
            <family val="2"/>
          </rPr>
          <t>CaGBC:</t>
        </r>
        <r>
          <rPr>
            <sz val="9"/>
            <color indexed="81"/>
            <rFont val="Tahoma"/>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E105" authorId="0" shapeId="0" xr:uid="{DFCFBA5E-F423-4623-8516-D97C9AA6BCD6}">
      <text>
        <r>
          <rPr>
            <b/>
            <sz val="9"/>
            <color indexed="81"/>
            <rFont val="Tahoma"/>
            <family val="2"/>
          </rPr>
          <t>CaGBC:</t>
        </r>
        <r>
          <rPr>
            <sz val="9"/>
            <color indexed="81"/>
            <rFont val="Tahoma"/>
            <family val="2"/>
          </rPr>
          <t xml:space="preserve">
Entering a value other than 0 into the "User-Reported Total" row will use that value in the financial analysis, instead of the automatically calculated sum of the individual equipment and measures that were created</t>
        </r>
      </text>
    </comment>
    <comment ref="F105" authorId="0" shapeId="0" xr:uid="{6EE1BBA1-6E7B-4307-8435-6FAE328049AF}">
      <text>
        <r>
          <rPr>
            <b/>
            <sz val="9"/>
            <color indexed="81"/>
            <rFont val="Tahoma"/>
            <family val="2"/>
          </rPr>
          <t>CaGBC:</t>
        </r>
        <r>
          <rPr>
            <sz val="9"/>
            <color indexed="81"/>
            <rFont val="Tahoma"/>
            <family val="2"/>
          </rPr>
          <t xml:space="preserve">
The user-reported total will be allocated between utility types as a weighted average of line-by-line consumption reported above.</t>
        </r>
      </text>
    </comment>
    <comment ref="H105" authorId="0" shapeId="0" xr:uid="{77F59865-7309-4CB7-AD7E-34754D69753F}">
      <text>
        <r>
          <rPr>
            <b/>
            <sz val="9"/>
            <color indexed="81"/>
            <rFont val="Tahoma"/>
            <family val="2"/>
          </rPr>
          <t>CaGBC:</t>
        </r>
        <r>
          <rPr>
            <sz val="9"/>
            <color indexed="81"/>
            <rFont val="Tahoma"/>
            <family val="2"/>
          </rPr>
          <t xml:space="preserve">
The user-reported total will be allocated between utility types as a weighted average of line-by-line cost reported above.</t>
        </r>
      </text>
    </comment>
    <comment ref="I105" authorId="0" shapeId="0" xr:uid="{7EBDDA2F-EC9A-41A2-8081-46DA64C6C6EE}">
      <text>
        <r>
          <rPr>
            <b/>
            <sz val="9"/>
            <color indexed="81"/>
            <rFont val="Tahoma"/>
            <family val="2"/>
          </rPr>
          <t>CaGBC:</t>
        </r>
        <r>
          <rPr>
            <sz val="9"/>
            <color indexed="81"/>
            <rFont val="Tahoma"/>
            <family val="2"/>
          </rPr>
          <t xml:space="preserve">
The Equipment/Measures list must include at least one electrical utility item if you intend to provide a user-reported total.</t>
        </r>
      </text>
    </comment>
    <comment ref="J105" authorId="0" shapeId="0" xr:uid="{08AF1FA8-44F1-4658-9843-5558B096A637}">
      <text>
        <r>
          <rPr>
            <b/>
            <sz val="9"/>
            <color indexed="81"/>
            <rFont val="Tahoma"/>
            <family val="2"/>
          </rPr>
          <t>CaGBC:</t>
        </r>
        <r>
          <rPr>
            <sz val="9"/>
            <color indexed="81"/>
            <rFont val="Tahoma"/>
            <family val="2"/>
          </rPr>
          <t xml:space="preserve">
The Equipment/Measures list must include at least one non-electrical utility item if you intend to provide a user-reported total.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 Chisholm</author>
    <author>Chris Onysko</author>
  </authors>
  <commentList>
    <comment ref="C30" authorId="0" shapeId="0" xr:uid="{C3876129-2F68-4360-8A1D-2DEF887910A4}">
      <text>
        <r>
          <rPr>
            <b/>
            <sz val="9"/>
            <color indexed="81"/>
            <rFont val="Tahoma"/>
            <family val="2"/>
          </rPr>
          <t>CaGBC:</t>
        </r>
        <r>
          <rPr>
            <sz val="9"/>
            <color indexed="81"/>
            <rFont val="Tahoma"/>
            <family val="2"/>
          </rPr>
          <t xml:space="preserve">
All costs are shown as present value</t>
        </r>
      </text>
    </comment>
    <comment ref="C49" authorId="1" shapeId="0" xr:uid="{C90FD65E-2622-4170-AC02-F44C5672870A}">
      <text>
        <r>
          <rPr>
            <b/>
            <sz val="9"/>
            <color indexed="81"/>
            <rFont val="Tahoma"/>
            <family val="2"/>
          </rPr>
          <t>Chris Onysko:</t>
        </r>
        <r>
          <rPr>
            <sz val="9"/>
            <color indexed="81"/>
            <rFont val="Tahoma"/>
            <family val="2"/>
          </rPr>
          <t xml:space="preserve">
Present value of all annual costs, averaged over the lifetime of the project</t>
        </r>
      </text>
    </comment>
    <comment ref="C52" authorId="1" shapeId="0" xr:uid="{D4CCD395-2C0F-49BA-82C3-4B7EDFAD8A58}">
      <text>
        <r>
          <rPr>
            <b/>
            <sz val="9"/>
            <color indexed="81"/>
            <rFont val="Tahoma"/>
            <family val="2"/>
          </rPr>
          <t>Chris Onysko:</t>
        </r>
        <r>
          <rPr>
            <sz val="9"/>
            <color indexed="81"/>
            <rFont val="Tahoma"/>
            <family val="2"/>
          </rPr>
          <t xml:space="preserve">
Present value of all capital expenses (including deduction for incentives) averaged over the project lifetime</t>
        </r>
      </text>
    </comment>
    <comment ref="C53" authorId="0" shapeId="0" xr:uid="{60E9D466-7899-4F6F-8243-AE62A5BBA3D7}">
      <text>
        <r>
          <rPr>
            <sz val="9"/>
            <color indexed="81"/>
            <rFont val="Tahoma"/>
            <family val="2"/>
          </rPr>
          <t>Includes incentives</t>
        </r>
      </text>
    </comment>
    <comment ref="C54" authorId="1" shapeId="0" xr:uid="{778ECDA2-DB57-4BAA-ABC7-638F83E4F667}">
      <text>
        <r>
          <rPr>
            <b/>
            <sz val="9"/>
            <color indexed="81"/>
            <rFont val="Tahoma"/>
            <family val="2"/>
          </rPr>
          <t>Chris Onysko:</t>
        </r>
        <r>
          <rPr>
            <sz val="9"/>
            <color indexed="81"/>
            <rFont val="Tahoma"/>
            <family val="2"/>
          </rPr>
          <t xml:space="preserve">
Present value of all costs, including capital, averaged over the lifetime of the project</t>
        </r>
      </text>
    </comment>
    <comment ref="C56" authorId="0" shapeId="0" xr:uid="{F442B023-4204-46BE-8B77-DB15E01EBB86}">
      <text>
        <r>
          <rPr>
            <b/>
            <sz val="9"/>
            <color indexed="81"/>
            <rFont val="Tahoma"/>
            <family val="2"/>
          </rPr>
          <t>CaGBC:</t>
        </r>
        <r>
          <rPr>
            <sz val="9"/>
            <color indexed="81"/>
            <rFont val="Tahoma"/>
            <family val="2"/>
          </rPr>
          <t xml:space="preserve">
All costs are shown as present value</t>
        </r>
      </text>
    </comment>
    <comment ref="C67" authorId="1" shapeId="0" xr:uid="{DB4ABC47-9F52-48E5-9FC8-6E0BC399E760}">
      <text>
        <r>
          <rPr>
            <b/>
            <sz val="9"/>
            <color indexed="81"/>
            <rFont val="Tahoma"/>
            <family val="2"/>
          </rPr>
          <t>CaGBC:</t>
        </r>
        <r>
          <rPr>
            <sz val="9"/>
            <color indexed="81"/>
            <rFont val="Tahoma"/>
            <family val="2"/>
          </rPr>
          <t xml:space="preserve">
Capital costs incurred in year 0 at project commencement, based on line-by-line equipment age and cost (not adjusted if the user reports a scenario total that differs from the sum of equipment items).</t>
        </r>
      </text>
    </comment>
    <comment ref="C68" authorId="1" shapeId="0" xr:uid="{2D16BC58-E221-4133-AF08-B8D2FCA8C5C5}">
      <text>
        <r>
          <rPr>
            <b/>
            <sz val="9"/>
            <color indexed="81"/>
            <rFont val="Tahoma"/>
            <family val="2"/>
          </rPr>
          <t>CaGBC:</t>
        </r>
        <r>
          <rPr>
            <sz val="9"/>
            <color indexed="81"/>
            <rFont val="Tahoma"/>
            <family val="2"/>
          </rPr>
          <t xml:space="preserve">
Present value (adjusted for inflation and discount rate) of all capital costs (less incentives) incurred over the entire project lifetime</t>
        </r>
      </text>
    </comment>
    <comment ref="C69" authorId="1" shapeId="0" xr:uid="{C790434B-3676-405F-8397-2F109A0102BC}">
      <text>
        <r>
          <rPr>
            <b/>
            <sz val="9"/>
            <color indexed="81"/>
            <rFont val="Tahoma"/>
            <family val="2"/>
          </rPr>
          <t>CaGBC:</t>
        </r>
        <r>
          <rPr>
            <sz val="9"/>
            <color indexed="81"/>
            <rFont val="Tahoma"/>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C70" authorId="1" shapeId="0" xr:uid="{C696A0A9-211B-4C38-AB47-76751638BA6F}">
      <text>
        <r>
          <rPr>
            <b/>
            <sz val="9"/>
            <color indexed="81"/>
            <rFont val="Tahoma"/>
            <family val="2"/>
          </rPr>
          <t>CaGBC:</t>
        </r>
        <r>
          <rPr>
            <sz val="9"/>
            <color indexed="81"/>
            <rFont val="Tahoma"/>
            <family val="2"/>
          </rPr>
          <t xml:space="preserve">
The sum of all present values (adjusted by discount rate) over the financial period evaluated, including: 
- Utility Cost (adjusted by rate escalation), 
- Pollution Cost (adjusted by pollution escalation), 
- REC &amp; Offset Cost (adjusted by REC &amp; Offset Escalation), 
- O&amp;M Cost (adjusted by inflation), and 
- Capital Cost (less incentive) less the residual value of depreciated assets at end of project life (adjusted by inflation).</t>
        </r>
      </text>
    </comment>
    <comment ref="C71" authorId="1" shapeId="0" xr:uid="{F5956DDF-410A-4819-9E13-C6C0D0B1A8CD}">
      <text>
        <r>
          <rPr>
            <b/>
            <sz val="9"/>
            <color indexed="81"/>
            <rFont val="Tahoma"/>
            <family val="2"/>
          </rPr>
          <t>CaGBC:</t>
        </r>
        <r>
          <rPr>
            <sz val="9"/>
            <color indexed="81"/>
            <rFont val="Tahoma"/>
            <family val="2"/>
          </rPr>
          <t xml:space="preserve">
Net Present Value divided by number project lifetime</t>
        </r>
      </text>
    </comment>
    <comment ref="F74" authorId="1" shapeId="0" xr:uid="{EBE9F909-17EF-42D8-9391-8D64F00A2315}">
      <text>
        <r>
          <rPr>
            <b/>
            <sz val="9"/>
            <color indexed="81"/>
            <rFont val="Tahoma"/>
            <family val="2"/>
          </rPr>
          <t>CaGBC:</t>
        </r>
        <r>
          <rPr>
            <sz val="9"/>
            <color indexed="81"/>
            <rFont val="Tahoma"/>
            <family val="2"/>
          </rPr>
          <t xml:space="preserve">
Incremental LCC/tCO2 reduced: Difference in Net Present Values divided by difference in lifecycle GHG emissions.
Negative value: there is a net cost associated with each ton of CO2 reduction
Positive value: there is a net savings associated with each ton of CO2 reduction</t>
        </r>
      </text>
    </comment>
    <comment ref="F75" authorId="1" shapeId="0" xr:uid="{A03FAB3B-88D8-404B-AA66-EEDD5928CB1F}">
      <text>
        <r>
          <rPr>
            <b/>
            <sz val="9"/>
            <color indexed="81"/>
            <rFont val="Tahoma"/>
            <family val="2"/>
          </rPr>
          <t>CaGBC:</t>
        </r>
        <r>
          <rPr>
            <sz val="9"/>
            <color indexed="81"/>
            <rFont val="Tahoma"/>
            <family val="2"/>
          </rPr>
          <t xml:space="preserve">
Payback = Investment divided by Savings
</t>
        </r>
        <r>
          <rPr>
            <u/>
            <sz val="9"/>
            <color indexed="81"/>
            <rFont val="Tahoma"/>
            <family val="2"/>
          </rPr>
          <t>Investment</t>
        </r>
        <r>
          <rPr>
            <sz val="9"/>
            <color indexed="81"/>
            <rFont val="Tahoma"/>
            <family val="2"/>
          </rPr>
          <t xml:space="preserve"> is the initial (year 0) capital cost difference between the scenario and the base case
</t>
        </r>
        <r>
          <rPr>
            <u/>
            <sz val="9"/>
            <color indexed="81"/>
            <rFont val="Tahoma"/>
            <family val="2"/>
          </rPr>
          <t>Savings</t>
        </r>
        <r>
          <rPr>
            <sz val="9"/>
            <color indexed="81"/>
            <rFont val="Tahoma"/>
            <family val="2"/>
          </rPr>
          <t xml:space="preserve"> is the initial (year 0) annual cost difference between the scenario and the base case
</t>
        </r>
      </text>
    </comment>
    <comment ref="F76" authorId="1" shapeId="0" xr:uid="{1325B721-36E5-4EF0-B090-8E05BBF70B99}">
      <text>
        <r>
          <rPr>
            <b/>
            <sz val="9"/>
            <color indexed="81"/>
            <rFont val="Tahoma"/>
            <family val="2"/>
          </rPr>
          <t>CaGBC:</t>
        </r>
        <r>
          <rPr>
            <sz val="9"/>
            <color indexed="81"/>
            <rFont val="Tahoma"/>
            <family val="2"/>
          </rPr>
          <t xml:space="preserve">
In each year of the financial period evaluated:
If the scenario has a higher total cost, it is an expense. 
If the scenario has a lower total cost, it is an income. 
Yearly cash flows (expenses and income) are calculated for the entire financial period evaluated.
The discount rate that produces a Net Present Value of 0 over this period is the Internal Rate of Return.
NOTE: A message of "NA - see note" indicates the project has a net negative cash flow, or cash flows alternate between positive and negative. In these cases, IRR calculations are ambiguous and should not be reported.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Onysko</author>
  </authors>
  <commentList>
    <comment ref="B14" authorId="0" shapeId="0" xr:uid="{31411EB1-11AD-4EA6-80AD-EFD33E3F7506}">
      <text>
        <r>
          <rPr>
            <b/>
            <sz val="9"/>
            <color indexed="81"/>
            <rFont val="Tahoma"/>
            <family val="2"/>
          </rPr>
          <t>Chris Onysko:</t>
        </r>
        <r>
          <rPr>
            <sz val="9"/>
            <color indexed="81"/>
            <rFont val="Tahoma"/>
            <family val="2"/>
          </rPr>
          <t xml:space="preserve">
Carbon offset is to calculate relative price of tCO2e to kgCO2e (not going to Btu)</t>
        </r>
      </text>
    </comment>
  </commentList>
</comments>
</file>

<file path=xl/sharedStrings.xml><?xml version="1.0" encoding="utf-8"?>
<sst xmlns="http://schemas.openxmlformats.org/spreadsheetml/2006/main" count="1514" uniqueCount="493">
  <si>
    <t>Capital Cost</t>
  </si>
  <si>
    <t>Units</t>
  </si>
  <si>
    <t>Lifetime (yrs)</t>
  </si>
  <si>
    <t>Utility Cost</t>
  </si>
  <si>
    <t>Carbon Intensity</t>
  </si>
  <si>
    <t>Gross Floor Area</t>
  </si>
  <si>
    <t>Project Name</t>
  </si>
  <si>
    <t>Address</t>
  </si>
  <si>
    <t>City</t>
  </si>
  <si>
    <t>Province</t>
  </si>
  <si>
    <t>Postal Code</t>
  </si>
  <si>
    <t>Project Type</t>
  </si>
  <si>
    <t>%</t>
  </si>
  <si>
    <t>-</t>
  </si>
  <si>
    <t>Escalation Rate</t>
  </si>
  <si>
    <t>Electricity</t>
  </si>
  <si>
    <t>/kWh</t>
  </si>
  <si>
    <t>Other</t>
  </si>
  <si>
    <t>Discount Rate</t>
  </si>
  <si>
    <t>Inflation Rate</t>
  </si>
  <si>
    <t>years</t>
  </si>
  <si>
    <t>District Steam</t>
  </si>
  <si>
    <t>Depreciated Value</t>
  </si>
  <si>
    <t>RECs</t>
  </si>
  <si>
    <t>Incentive Value</t>
  </si>
  <si>
    <t>Yes</t>
  </si>
  <si>
    <t>No</t>
  </si>
  <si>
    <t>BASE CASE</t>
  </si>
  <si>
    <t>SCENARIO 2</t>
  </si>
  <si>
    <t>SCENARIO 3</t>
  </si>
  <si>
    <t>Carbon Offset</t>
  </si>
  <si>
    <t>Annual O&amp;M Cost</t>
  </si>
  <si>
    <t>$/tCO2e</t>
  </si>
  <si>
    <t>$/t/year</t>
  </si>
  <si>
    <t>Total</t>
  </si>
  <si>
    <t>ekWh</t>
  </si>
  <si>
    <t>Equipment / Measure</t>
  </si>
  <si>
    <r>
      <t>kg CO</t>
    </r>
    <r>
      <rPr>
        <vertAlign val="subscript"/>
        <sz val="11"/>
        <color theme="1"/>
        <rFont val="Calibri"/>
        <family val="2"/>
        <scheme val="minor"/>
      </rPr>
      <t>2</t>
    </r>
    <r>
      <rPr>
        <sz val="11"/>
        <color theme="1"/>
        <rFont val="Calibri"/>
        <family val="2"/>
        <scheme val="minor"/>
      </rPr>
      <t>e / Mbtu</t>
    </r>
  </si>
  <si>
    <t>Average</t>
  </si>
  <si>
    <t>Marginal</t>
  </si>
  <si>
    <t>Generation</t>
  </si>
  <si>
    <t>Scope 3</t>
  </si>
  <si>
    <t>Gas</t>
  </si>
  <si>
    <t>Choose</t>
  </si>
  <si>
    <t>Alberta</t>
  </si>
  <si>
    <t>British Columbia</t>
  </si>
  <si>
    <t>District Hot Water</t>
  </si>
  <si>
    <t>Manitoba</t>
  </si>
  <si>
    <t>Chilled Water Electric Drive</t>
  </si>
  <si>
    <t>New Brunswick</t>
  </si>
  <si>
    <t>Chilled Water Gas Absorption</t>
  </si>
  <si>
    <t>Newfoundland</t>
  </si>
  <si>
    <t>Chilled Water Gas Engine</t>
  </si>
  <si>
    <t>Northwest Territories</t>
  </si>
  <si>
    <t>Wood</t>
  </si>
  <si>
    <t>Nova Scotia</t>
  </si>
  <si>
    <t>Propane</t>
  </si>
  <si>
    <t>Nunavut</t>
  </si>
  <si>
    <t>Fuel Oil 1</t>
  </si>
  <si>
    <t>Ontario</t>
  </si>
  <si>
    <t>Fuel Oil 2</t>
  </si>
  <si>
    <t>Prince Edward Island</t>
  </si>
  <si>
    <t>Fuel Oil 4</t>
  </si>
  <si>
    <t>Quebec</t>
  </si>
  <si>
    <t>Fuel Oil 5 and 6</t>
  </si>
  <si>
    <t>Saskatchewan</t>
  </si>
  <si>
    <t>Diesel</t>
  </si>
  <si>
    <t>Yukon</t>
  </si>
  <si>
    <t>Kerosene</t>
  </si>
  <si>
    <t>Fuel</t>
  </si>
  <si>
    <t>ID</t>
  </si>
  <si>
    <t>vlookup</t>
  </si>
  <si>
    <t>Multiplier to get to kBtu</t>
  </si>
  <si>
    <t>Natural Gas</t>
  </si>
  <si>
    <t>NaturalGas</t>
  </si>
  <si>
    <t>kBtu</t>
  </si>
  <si>
    <t>Natural GaskBtu</t>
  </si>
  <si>
    <t>MBtu</t>
  </si>
  <si>
    <t>Natural GasMBtu</t>
  </si>
  <si>
    <t>cf</t>
  </si>
  <si>
    <t>Natural Gascf</t>
  </si>
  <si>
    <t>ccf</t>
  </si>
  <si>
    <t>Natural Gasccf</t>
  </si>
  <si>
    <t>kcf</t>
  </si>
  <si>
    <t>Natural Gaskcf</t>
  </si>
  <si>
    <t>Mcf</t>
  </si>
  <si>
    <t>Natural GasMcf</t>
  </si>
  <si>
    <t>Therms</t>
  </si>
  <si>
    <t>Natural GasTherms</t>
  </si>
  <si>
    <t>Cubic Meters</t>
  </si>
  <si>
    <t>Natural GasCubic Meters</t>
  </si>
  <si>
    <t>GJ</t>
  </si>
  <si>
    <t>Natural GasGJ</t>
  </si>
  <si>
    <t>FuelOil1</t>
  </si>
  <si>
    <t>Fuel Oil 1kBtu</t>
  </si>
  <si>
    <t>Fuel Oil 1MBtu</t>
  </si>
  <si>
    <t>Gallons (US)</t>
  </si>
  <si>
    <t>Fuel Oil 1Gallons (US)</t>
  </si>
  <si>
    <t>Gallons (UK)</t>
  </si>
  <si>
    <t>Fuel Oil 1Gallons (UK)</t>
  </si>
  <si>
    <t>liters</t>
  </si>
  <si>
    <t>Fuel Oil 1liters</t>
  </si>
  <si>
    <t>Fuel Oil 1GJ</t>
  </si>
  <si>
    <t>FuelOil2</t>
  </si>
  <si>
    <t>Fuel Oil 2kBtu</t>
  </si>
  <si>
    <t>Fuel Oil 2MBtu</t>
  </si>
  <si>
    <t>Fuel Oil 2Gallons (US)</t>
  </si>
  <si>
    <t>Fuel Oil 2Gallons (UK)</t>
  </si>
  <si>
    <t>Fuel Oil 2liters</t>
  </si>
  <si>
    <t>Fuel Oil 2GJ</t>
  </si>
  <si>
    <t>FuelOil4</t>
  </si>
  <si>
    <t>Fuel Oil 4kBtu</t>
  </si>
  <si>
    <t>Fuel Oil 4MBtu</t>
  </si>
  <si>
    <t>Fuel Oil 4Gallons (US)</t>
  </si>
  <si>
    <t>Fuel Oil 4Gallons (UK)</t>
  </si>
  <si>
    <t>Fuel Oil 4liters</t>
  </si>
  <si>
    <t>Fuel Oil 4GJ</t>
  </si>
  <si>
    <t>FuelOil5and6</t>
  </si>
  <si>
    <t>Fuel Oil 5 and 6kBtu</t>
  </si>
  <si>
    <t>Fuel Oil 5 and 6MBtu</t>
  </si>
  <si>
    <t>Fuel Oil 5 and 6Gallons (US)</t>
  </si>
  <si>
    <t>Fuel Oil 5 and 6Gallons (UK)</t>
  </si>
  <si>
    <t>Fuel Oil 5 and 6liters</t>
  </si>
  <si>
    <t>Fuel Oil 5 and 6GJ</t>
  </si>
  <si>
    <t>DieselkBtu</t>
  </si>
  <si>
    <t>DieselMBtu</t>
  </si>
  <si>
    <t>DieselGallons (US)</t>
  </si>
  <si>
    <t>DieselGallons (UK)</t>
  </si>
  <si>
    <t>Dieselliters</t>
  </si>
  <si>
    <t>DieselGJ</t>
  </si>
  <si>
    <t>KerosenekBtu</t>
  </si>
  <si>
    <t>KeroseneMBtu</t>
  </si>
  <si>
    <t>KeroseneGallons (US)</t>
  </si>
  <si>
    <t>KeroseneGallons (UK)</t>
  </si>
  <si>
    <t>Keroseneliters</t>
  </si>
  <si>
    <t>KeroseneGJ</t>
  </si>
  <si>
    <t>PropanekBtu</t>
  </si>
  <si>
    <t>PropaneMBtu</t>
  </si>
  <si>
    <t>Propanecf</t>
  </si>
  <si>
    <t>Propaneccf</t>
  </si>
  <si>
    <t>Propanekcf</t>
  </si>
  <si>
    <t>PropaneGallons (US)</t>
  </si>
  <si>
    <t>PropaneGallons (UK)</t>
  </si>
  <si>
    <t>Propaneliters</t>
  </si>
  <si>
    <t>PropaneGJ</t>
  </si>
  <si>
    <t>ElectricitykBtu</t>
  </si>
  <si>
    <t>ElectricityMBtu</t>
  </si>
  <si>
    <t>kWh</t>
  </si>
  <si>
    <t>ElectricitykWh</t>
  </si>
  <si>
    <t>MWh</t>
  </si>
  <si>
    <t>ElectricityMWh</t>
  </si>
  <si>
    <t>ElectricityGJ</t>
  </si>
  <si>
    <t>DistrictSteam</t>
  </si>
  <si>
    <t>District SteamkBtu</t>
  </si>
  <si>
    <t>District SteamMBtu</t>
  </si>
  <si>
    <t>Lbs</t>
  </si>
  <si>
    <t>District SteamLbs</t>
  </si>
  <si>
    <t>kLbs</t>
  </si>
  <si>
    <t>District SteamkLbs</t>
  </si>
  <si>
    <t>MLbs</t>
  </si>
  <si>
    <t>District SteamMLbs</t>
  </si>
  <si>
    <t>therms</t>
  </si>
  <si>
    <t>District Steamtherms</t>
  </si>
  <si>
    <t>District SteamGJ</t>
  </si>
  <si>
    <t>kg</t>
  </si>
  <si>
    <t>District Steamkg</t>
  </si>
  <si>
    <t>DistrictHotWater</t>
  </si>
  <si>
    <t>District Hot WaterkBtu</t>
  </si>
  <si>
    <t>District Hot WaterMBtu</t>
  </si>
  <si>
    <t>District Hot WaterTherms</t>
  </si>
  <si>
    <t>District Hot WaterGJ</t>
  </si>
  <si>
    <t>ChilledWaterElectricDrive</t>
  </si>
  <si>
    <t>Chilled Water Electric DrivekBtu</t>
  </si>
  <si>
    <t>Chilled Water Electric DriveMBtu</t>
  </si>
  <si>
    <t>Ton Hours</t>
  </si>
  <si>
    <t>Chilled Water Electric DriveTon Hours</t>
  </si>
  <si>
    <t>Chilled Water Electric DriveGJ</t>
  </si>
  <si>
    <t>ChilledWaterGasAbsorption</t>
  </si>
  <si>
    <t>Chilled Water Gas AbsorptionkBtu</t>
  </si>
  <si>
    <t>Chilled Water Gas AbsorptionMBtu</t>
  </si>
  <si>
    <t>Chilled Water Gas AbsorptionTon Hours</t>
  </si>
  <si>
    <t>Chilled Water Gas AbsorptionGJ</t>
  </si>
  <si>
    <t>ChilledWaterGasEngine</t>
  </si>
  <si>
    <t>Chilled Water Gas EnginekBtu</t>
  </si>
  <si>
    <t>Chilled Water Gas EngineMBtu</t>
  </si>
  <si>
    <t>Chilled Water Gas EngineTon Hours</t>
  </si>
  <si>
    <t>Chilled Water Gas EngineGJ</t>
  </si>
  <si>
    <t>Biomass</t>
  </si>
  <si>
    <t>BiomasskBtu</t>
  </si>
  <si>
    <t>BiomassMBtu</t>
  </si>
  <si>
    <t>Tons</t>
  </si>
  <si>
    <t>BiomassTons</t>
  </si>
  <si>
    <t>Tonnes (metric)</t>
  </si>
  <si>
    <t>BiomassTonnes (metric)</t>
  </si>
  <si>
    <t>BiomassGJ</t>
  </si>
  <si>
    <t>Solar PV or Wind</t>
  </si>
  <si>
    <t>SolarPVorWind</t>
  </si>
  <si>
    <t>Solar PV or WindkBtu</t>
  </si>
  <si>
    <t>Solar PV or WindMBtu</t>
  </si>
  <si>
    <t>Solar PV or WindkWh</t>
  </si>
  <si>
    <t>Solar PV or WindMWh</t>
  </si>
  <si>
    <t>Solar PV or WindGJ</t>
  </si>
  <si>
    <t>OtherkBtu</t>
  </si>
  <si>
    <t>OtherMBtu</t>
  </si>
  <si>
    <t>OtherGJ</t>
  </si>
  <si>
    <t>Biogas</t>
  </si>
  <si>
    <t>BiogaskBtu</t>
  </si>
  <si>
    <t>BiogasMBtu</t>
  </si>
  <si>
    <t>Biogascf</t>
  </si>
  <si>
    <t>Biogasccf</t>
  </si>
  <si>
    <t>Biogaskcf</t>
  </si>
  <si>
    <t>BiogasMcf</t>
  </si>
  <si>
    <t>BiogasTherms</t>
  </si>
  <si>
    <t>BiogasCubic Meters</t>
  </si>
  <si>
    <t>BiogasGJ</t>
  </si>
  <si>
    <t>/kBtu</t>
  </si>
  <si>
    <t>/MBtu</t>
  </si>
  <si>
    <t>/cf</t>
  </si>
  <si>
    <t>/ccf</t>
  </si>
  <si>
    <t>/kcf</t>
  </si>
  <si>
    <t>/Mcf</t>
  </si>
  <si>
    <t>/Therm</t>
  </si>
  <si>
    <t>/m3</t>
  </si>
  <si>
    <t>/GJ</t>
  </si>
  <si>
    <t>/Gallon (US)</t>
  </si>
  <si>
    <t>/Gallon (UK)</t>
  </si>
  <si>
    <t>/liter</t>
  </si>
  <si>
    <t>/MWh</t>
  </si>
  <si>
    <t>/Lb</t>
  </si>
  <si>
    <t>/kLb</t>
  </si>
  <si>
    <t>/MLb</t>
  </si>
  <si>
    <t>/kg</t>
  </si>
  <si>
    <t>/Ton Hour</t>
  </si>
  <si>
    <t>/Ton</t>
  </si>
  <si>
    <t>/Tonne (metric)</t>
  </si>
  <si>
    <t>Util</t>
  </si>
  <si>
    <t>kbtu</t>
  </si>
  <si>
    <t>Energy Source</t>
  </si>
  <si>
    <t>Util cost (/kbtu)</t>
  </si>
  <si>
    <t>Util cost (/kWh)</t>
  </si>
  <si>
    <t>Util cons (kWh)</t>
  </si>
  <si>
    <t>Util cons (kBtu)</t>
  </si>
  <si>
    <t>CI (kg/kBtu)</t>
  </si>
  <si>
    <t>CI (kg/kWh)</t>
  </si>
  <si>
    <t>Inflation</t>
  </si>
  <si>
    <t>Discount</t>
  </si>
  <si>
    <t>Esc. Rate (%)</t>
  </si>
  <si>
    <t>Util Esc</t>
  </si>
  <si>
    <t>Pollution</t>
  </si>
  <si>
    <t>Elec?</t>
  </si>
  <si>
    <t>Electricity?</t>
  </si>
  <si>
    <t>Year</t>
  </si>
  <si>
    <t>Project life time</t>
  </si>
  <si>
    <t>NPV Total</t>
  </si>
  <si>
    <t>Util Esc. Rate</t>
  </si>
  <si>
    <t>REC esc. Rate</t>
  </si>
  <si>
    <t>Carb. Off esc. Rate</t>
  </si>
  <si>
    <t>REC cost</t>
  </si>
  <si>
    <t>Carb. Off cost</t>
  </si>
  <si>
    <t>Price</t>
  </si>
  <si>
    <t>NPV</t>
  </si>
  <si>
    <t>PV of Lifetime util costs</t>
  </si>
  <si>
    <t>PV of Lifetime O&amp;M cost</t>
  </si>
  <si>
    <t>PV of lifetime cap cost</t>
  </si>
  <si>
    <t>Elec emissions (kgCO2)</t>
  </si>
  <si>
    <t>Non-elec Emissions (kgCO2)</t>
  </si>
  <si>
    <t>PV of lifetime pol cost (ELEC</t>
  </si>
  <si>
    <t>PV of lifetime pol. Cost (Non-ELEC)</t>
  </si>
  <si>
    <t>Floor area</t>
  </si>
  <si>
    <t>Elec weight</t>
  </si>
  <si>
    <t>Utility costs (elec)</t>
  </si>
  <si>
    <t>Utility costs (non-elec)</t>
  </si>
  <si>
    <t>Pollution costs (elec)</t>
  </si>
  <si>
    <t>Pollution costs (non-elec)</t>
  </si>
  <si>
    <t>Offset costs (elec)</t>
  </si>
  <si>
    <t>Offset costs (non-elec)</t>
  </si>
  <si>
    <t>Net Present Value</t>
  </si>
  <si>
    <t>PV of RECs for Elec</t>
  </si>
  <si>
    <t>PV of Carb. Offs for Elec</t>
  </si>
  <si>
    <t>PV of Carb. Offs for non-elec</t>
  </si>
  <si>
    <t>Over-write</t>
  </si>
  <si>
    <t>Elec emissions</t>
  </si>
  <si>
    <t>Non-elec emissions</t>
  </si>
  <si>
    <t>Utility cost</t>
  </si>
  <si>
    <t>O&amp;M cost</t>
  </si>
  <si>
    <t>PV of lifetime</t>
  </si>
  <si>
    <t>Annual CO value</t>
  </si>
  <si>
    <t>PV of CO</t>
  </si>
  <si>
    <t>Annual REC cost</t>
  </si>
  <si>
    <t>PV of RECs</t>
  </si>
  <si>
    <t>Capital Cost table</t>
  </si>
  <si>
    <t>SCENARIO 1</t>
  </si>
  <si>
    <t>IRR Calcs</t>
  </si>
  <si>
    <t>Expenses</t>
  </si>
  <si>
    <t>Income</t>
  </si>
  <si>
    <t>Net</t>
  </si>
  <si>
    <t>Non-over-write</t>
  </si>
  <si>
    <t>Year 0 annual costs</t>
  </si>
  <si>
    <t>Capital Cost (FV)</t>
  </si>
  <si>
    <t>Discount factor</t>
  </si>
  <si>
    <t>Util cost</t>
  </si>
  <si>
    <t>Annual pollution</t>
  </si>
  <si>
    <t>O&amp;M Cost</t>
  </si>
  <si>
    <t>IRR</t>
  </si>
  <si>
    <t>Electrical consumption emissions will be offset by:</t>
  </si>
  <si>
    <t>Present Price</t>
  </si>
  <si>
    <t>Max. Price</t>
  </si>
  <si>
    <t>GENERAL PROJECT INFORMATION</t>
  </si>
  <si>
    <t>FINANCIAL ASSUMPTIONS</t>
  </si>
  <si>
    <t>Fuel Source</t>
  </si>
  <si>
    <t>h</t>
  </si>
  <si>
    <t>Incremental Life Cycle Cost per tCO2e reduced</t>
  </si>
  <si>
    <t>h/d</t>
  </si>
  <si>
    <t>Timeline for Net Present Value</t>
  </si>
  <si>
    <t>ZCB Design</t>
  </si>
  <si>
    <t>ZCB Performance</t>
  </si>
  <si>
    <t>$/ccf</t>
  </si>
  <si>
    <t>$/ft3</t>
  </si>
  <si>
    <t>$/m3</t>
  </si>
  <si>
    <t>$/gal (UK)</t>
  </si>
  <si>
    <t>$/gal (US)</t>
  </si>
  <si>
    <t>$/GJ</t>
  </si>
  <si>
    <t>$/kbtu</t>
  </si>
  <si>
    <t>$/kcf</t>
  </si>
  <si>
    <t>$/kg</t>
  </si>
  <si>
    <t>$/klb</t>
  </si>
  <si>
    <t>$/kWh</t>
  </si>
  <si>
    <t>m3</t>
  </si>
  <si>
    <t>$/lb</t>
  </si>
  <si>
    <t>$/litre</t>
  </si>
  <si>
    <t>$/Mbtu</t>
  </si>
  <si>
    <t>$/Mcf</t>
  </si>
  <si>
    <t>$/Mlbs</t>
  </si>
  <si>
    <t>$/MWh</t>
  </si>
  <si>
    <t>ft3</t>
  </si>
  <si>
    <t>$/Therm</t>
  </si>
  <si>
    <t>$/ton hour</t>
  </si>
  <si>
    <t>$/tonne (metric)</t>
  </si>
  <si>
    <t>$/ton</t>
  </si>
  <si>
    <t>$/kBtu</t>
  </si>
  <si>
    <t>$/MCf</t>
  </si>
  <si>
    <t>$/Gal (US)</t>
  </si>
  <si>
    <t>$/Gal (UK)</t>
  </si>
  <si>
    <t>$/Litre</t>
  </si>
  <si>
    <t>$/MBtu</t>
  </si>
  <si>
    <t>$/kgCO2e</t>
  </si>
  <si>
    <t>$/Mlb</t>
  </si>
  <si>
    <t>Natural_Gas</t>
  </si>
  <si>
    <t>Fuel_Oil_1</t>
  </si>
  <si>
    <t>Fuel_Oil_2</t>
  </si>
  <si>
    <t>Fuel_Oil_4</t>
  </si>
  <si>
    <t>Fuel_Oil_5_and_6</t>
  </si>
  <si>
    <t>Carbon_Offset</t>
  </si>
  <si>
    <t>District_Steam</t>
  </si>
  <si>
    <t>District_Hot_Water</t>
  </si>
  <si>
    <t>Chilled_Water_Electric_Drive</t>
  </si>
  <si>
    <t>Chilled_Water_Gas_Absorption</t>
  </si>
  <si>
    <t>Chilled_Water_Gas_Engine</t>
  </si>
  <si>
    <t>Solar_PV_or_Wind</t>
  </si>
  <si>
    <t>$/</t>
  </si>
  <si>
    <t>kgCO2e/</t>
  </si>
  <si>
    <t>MCf</t>
  </si>
  <si>
    <t>Mbtu</t>
  </si>
  <si>
    <t>Therm</t>
  </si>
  <si>
    <t>Gal (UK)</t>
  </si>
  <si>
    <t>Gal (US)</t>
  </si>
  <si>
    <t>kLb</t>
  </si>
  <si>
    <t>Lb</t>
  </si>
  <si>
    <t>litre</t>
  </si>
  <si>
    <t>MLb</t>
  </si>
  <si>
    <t>Ton Hour</t>
  </si>
  <si>
    <t>Tonne (metric)</t>
  </si>
  <si>
    <t>Ton</t>
  </si>
  <si>
    <t>REC &amp; offset costs (elec)</t>
  </si>
  <si>
    <t>REC &amp; offset costs (non-elec)</t>
  </si>
  <si>
    <t>Litre</t>
  </si>
  <si>
    <t>kgCO2e</t>
  </si>
  <si>
    <t>lb</t>
  </si>
  <si>
    <t>klb</t>
  </si>
  <si>
    <t>Mlb</t>
  </si>
  <si>
    <t>ton hour</t>
  </si>
  <si>
    <t>tonne (metric)</t>
  </si>
  <si>
    <t>ton</t>
  </si>
  <si>
    <t>Annualized utility costs (total)</t>
  </si>
  <si>
    <t>Annualized pollution costs (total)</t>
  </si>
  <si>
    <t>Annualized REC &amp; offset costs (total)</t>
  </si>
  <si>
    <t>Annualized O&amp;M costs</t>
  </si>
  <si>
    <t>Total annualized costs</t>
  </si>
  <si>
    <t>Years Accounted</t>
  </si>
  <si>
    <t>Remaining Project Life</t>
  </si>
  <si>
    <t>Remaining Equipment Life</t>
  </si>
  <si>
    <t>Cons. Weighted Elec</t>
  </si>
  <si>
    <t>District_Hot Water</t>
  </si>
  <si>
    <t>INTRODUCTION</t>
  </si>
  <si>
    <t>GENERAL PROJECT INFO</t>
  </si>
  <si>
    <t>SCENARIOS &amp; MEASURES</t>
  </si>
  <si>
    <t>RESULTS</t>
  </si>
  <si>
    <t>The workbook is organized into three tabs:</t>
  </si>
  <si>
    <t>1. General Project Info</t>
  </si>
  <si>
    <t>2. Scenarios &amp; Measures</t>
  </si>
  <si>
    <t>3. Results</t>
  </si>
  <si>
    <t>Here the user defines scenarios that will be compared. Each scenario is created by listing all combustion equipment, or its replaced alternative, and providing details on energy consumption, costs, and durability. The first scenario is always the base-case - typically the existing building or conventional design.</t>
  </si>
  <si>
    <t>The user can also specify whole-scenario results where available from an energy model or similar whole-project analysis.</t>
  </si>
  <si>
    <t>Here the user views side-by-side results from the financial analysis of each scenario, showing how each one performs relative to the base case.</t>
  </si>
  <si>
    <t>Age (0=new)</t>
  </si>
  <si>
    <t>Annual Fuel Cost</t>
  </si>
  <si>
    <r>
      <t>m</t>
    </r>
    <r>
      <rPr>
        <vertAlign val="superscript"/>
        <sz val="11"/>
        <color theme="1" tint="-0.499984740745262"/>
        <rFont val="Calibri"/>
        <family val="2"/>
        <scheme val="minor"/>
      </rPr>
      <t>2</t>
    </r>
  </si>
  <si>
    <r>
      <t>m</t>
    </r>
    <r>
      <rPr>
        <sz val="11"/>
        <color theme="1" tint="-0.499984740745262"/>
        <rFont val="Calibri"/>
        <family val="2"/>
      </rPr>
      <t>²</t>
    </r>
  </si>
  <si>
    <r>
      <t>tCO</t>
    </r>
    <r>
      <rPr>
        <vertAlign val="subscript"/>
        <sz val="11"/>
        <color theme="1" tint="-0.499984740745262"/>
        <rFont val="Calibri"/>
        <family val="2"/>
        <scheme val="minor"/>
      </rPr>
      <t>2</t>
    </r>
    <r>
      <rPr>
        <sz val="11"/>
        <color theme="1" tint="-0.499984740745262"/>
        <rFont val="Calibri"/>
        <family val="2"/>
        <scheme val="minor"/>
      </rPr>
      <t>e</t>
    </r>
  </si>
  <si>
    <r>
      <t>$/m</t>
    </r>
    <r>
      <rPr>
        <vertAlign val="superscript"/>
        <sz val="11"/>
        <color theme="1" tint="-0.499984740745262"/>
        <rFont val="Calibri"/>
        <family val="2"/>
        <scheme val="minor"/>
      </rPr>
      <t>2</t>
    </r>
  </si>
  <si>
    <r>
      <t>/m</t>
    </r>
    <r>
      <rPr>
        <vertAlign val="superscript"/>
        <sz val="11"/>
        <color theme="1" tint="-0.499984740745262"/>
        <rFont val="Calibri"/>
        <family val="2"/>
        <scheme val="minor"/>
      </rPr>
      <t>2</t>
    </r>
  </si>
  <si>
    <r>
      <t>$/tCO</t>
    </r>
    <r>
      <rPr>
        <vertAlign val="subscript"/>
        <sz val="11"/>
        <color theme="1" tint="-0.499984740745262"/>
        <rFont val="Calibri"/>
        <family val="2"/>
        <scheme val="minor"/>
      </rPr>
      <t>2</t>
    </r>
    <r>
      <rPr>
        <sz val="11"/>
        <color theme="1" tint="-0.499984740745262"/>
        <rFont val="Calibri"/>
        <family val="2"/>
        <scheme val="minor"/>
      </rPr>
      <t>e</t>
    </r>
  </si>
  <si>
    <t>Energy Intensity</t>
  </si>
  <si>
    <t>Energy Consumption - Electric</t>
  </si>
  <si>
    <t>Energy Consumption - All Other</t>
  </si>
  <si>
    <t>GHG Intensity</t>
  </si>
  <si>
    <t>GHG Emissions - Electric</t>
  </si>
  <si>
    <t>GHG Emissions - All Other</t>
  </si>
  <si>
    <t>Utility Cost Intensity</t>
  </si>
  <si>
    <t>Pollution Cost Intensity</t>
  </si>
  <si>
    <t>REC &amp; Offset Cost Intensity</t>
  </si>
  <si>
    <t>REC &amp; Offset Cost</t>
  </si>
  <si>
    <t>O&amp;M Cost Intensity</t>
  </si>
  <si>
    <t>Total Annual Cost</t>
  </si>
  <si>
    <t>Total Annual Cost Intensity</t>
  </si>
  <si>
    <t>Annualized Capital Cost</t>
  </si>
  <si>
    <t>Capital Cost Intensity</t>
  </si>
  <si>
    <t>Total Annualized Cost</t>
  </si>
  <si>
    <t>Total Annualized Cost Intensity</t>
  </si>
  <si>
    <t>Utility costs - Electricity</t>
  </si>
  <si>
    <t>Utility cost - All Other</t>
  </si>
  <si>
    <t>Lifecycle Capital Cost</t>
  </si>
  <si>
    <t>Initial Capital Cost</t>
  </si>
  <si>
    <t>Annualized Net Present Value Per Year</t>
  </si>
  <si>
    <t>Net Present Value Intensity</t>
  </si>
  <si>
    <t>Simple Payback Period</t>
  </si>
  <si>
    <t>Internal Rate of Return</t>
  </si>
  <si>
    <t>hide</t>
  </si>
  <si>
    <t>Combustion Free?</t>
  </si>
  <si>
    <t>No - transitional</t>
  </si>
  <si>
    <t>Yes - meets ZCB</t>
  </si>
  <si>
    <t>FUEL SOURCES</t>
  </si>
  <si>
    <t>Lifecycle</t>
  </si>
  <si>
    <t>vs. Base Case</t>
  </si>
  <si>
    <t>Lifecycle GHG Emissions</t>
  </si>
  <si>
    <t>Electricity Consumption</t>
  </si>
  <si>
    <t>Other Fuel Consumption</t>
  </si>
  <si>
    <t>Total Energy Consumption</t>
  </si>
  <si>
    <t>Electricity GHG Emissions</t>
  </si>
  <si>
    <t>Other Fuel GHG Emissions</t>
  </si>
  <si>
    <t>Total GHG Emissions</t>
  </si>
  <si>
    <t>Lifecycle Energy Consumption</t>
  </si>
  <si>
    <t>Residual Capital Value</t>
  </si>
  <si>
    <t>Elec Emissions</t>
  </si>
  <si>
    <t>Non-Elec emissions</t>
  </si>
  <si>
    <t>Electric GHG (kg CO₂e)</t>
  </si>
  <si>
    <r>
      <t>Other Fuels GHG (kg CO</t>
    </r>
    <r>
      <rPr>
        <b/>
        <sz val="11"/>
        <color theme="1" tint="-0.499984740745262"/>
        <rFont val="Calibri"/>
        <family val="2"/>
      </rPr>
      <t>₂</t>
    </r>
    <r>
      <rPr>
        <b/>
        <sz val="11"/>
        <color theme="1" tint="-0.499984740745262"/>
        <rFont val="Calibri"/>
        <family val="2"/>
        <scheme val="minor"/>
      </rPr>
      <t>e)</t>
    </r>
  </si>
  <si>
    <r>
      <t>kWh/m</t>
    </r>
    <r>
      <rPr>
        <b/>
        <vertAlign val="superscript"/>
        <sz val="11"/>
        <color theme="1" tint="-0.499984740745262"/>
        <rFont val="Calibri"/>
        <family val="2"/>
        <scheme val="minor"/>
      </rPr>
      <t>2</t>
    </r>
  </si>
  <si>
    <t>$</t>
  </si>
  <si>
    <t xml:space="preserve">ZCB Standard requires a 20 year timeline &amp; 3% discount rate. </t>
  </si>
  <si>
    <t>Utility Rate</t>
  </si>
  <si>
    <t>Utility</t>
  </si>
  <si>
    <t>Annual Utility Consumption</t>
  </si>
  <si>
    <t>User-Reported Total</t>
  </si>
  <si>
    <r>
      <t>kgCO</t>
    </r>
    <r>
      <rPr>
        <b/>
        <vertAlign val="subscript"/>
        <sz val="11"/>
        <color theme="1" tint="-0.499984740745262"/>
        <rFont val="Calibri"/>
        <family val="2"/>
        <scheme val="minor"/>
      </rPr>
      <t>2</t>
    </r>
    <r>
      <rPr>
        <b/>
        <sz val="11"/>
        <color theme="1" tint="-0.499984740745262"/>
        <rFont val="Calibri"/>
        <family val="2"/>
        <scheme val="minor"/>
      </rPr>
      <t>e/m</t>
    </r>
    <r>
      <rPr>
        <b/>
        <vertAlign val="superscript"/>
        <sz val="11"/>
        <color theme="1" tint="-0.499984740745262"/>
        <rFont val="Calibri"/>
        <family val="2"/>
        <scheme val="minor"/>
      </rPr>
      <t>2</t>
    </r>
  </si>
  <si>
    <t>Initial age</t>
  </si>
  <si>
    <t>NPV (0% discount)</t>
  </si>
  <si>
    <t>Error?</t>
  </si>
  <si>
    <t>The transition plan must include a financial comparison of the designed or current system and a non-combustion based alternative, including a 20-year net present value calculation, which includes current and projected fuel cost escalation and a 3% discount rate.</t>
  </si>
  <si>
    <t>Cost weighted avg. Esc Rate</t>
  </si>
  <si>
    <t>Zero Carbon Building Standard
Financial Calculator</t>
  </si>
  <si>
    <t>ENERGY &amp; EMISSIONS</t>
  </si>
  <si>
    <t>YEAR 1 ANNUAL COSTS</t>
  </si>
  <si>
    <t>LIFECYCLE COSTS</t>
  </si>
  <si>
    <t>Carbon Price Cost</t>
  </si>
  <si>
    <t>Here the user reports common project details like project name, location, size, economic forecast values, carbon price costs, and costs and carbon intensity of utilities.</t>
  </si>
  <si>
    <t>CARBON PRICE</t>
  </si>
  <si>
    <t>hide here</t>
  </si>
  <si>
    <t>e.g. Boiler</t>
  </si>
  <si>
    <t>Password to unlock sheets, and workbook:</t>
  </si>
  <si>
    <t>CaGBCZCBPurpose2019</t>
  </si>
  <si>
    <t>tCO2e</t>
  </si>
  <si>
    <t>NA</t>
  </si>
  <si>
    <t>The purpose of this workbook is to provide a financial analysis tool that can be used to evaluate the viability of carbon reduction projects. Significant financial and technological barriers to all-electric buildings may exist in some climate zones and building markets. For this reason, the Zero Carbon Building Standard allows the onsite combustion of fossil fuels and biologically derived fuels. All applicants who rely on onsite combustion of fuels must provide a transition plan to demonstrate how the building will decarbonize in the future, showing that they have considered appropriate building design or retrofit measures. Buildings pursuing ZCB-Performance certification are required to update their transition plans every five years</t>
  </si>
  <si>
    <t>Zero Carbon Building v2
Life-Cycle Cost Calculator</t>
  </si>
  <si>
    <r>
      <t>g CO</t>
    </r>
    <r>
      <rPr>
        <vertAlign val="subscript"/>
        <sz val="11"/>
        <color theme="0"/>
        <rFont val="Calibri"/>
        <family val="2"/>
        <scheme val="minor"/>
      </rPr>
      <t>2</t>
    </r>
    <r>
      <rPr>
        <sz val="11"/>
        <color theme="0"/>
        <rFont val="Calibri"/>
        <family val="2"/>
        <scheme val="minor"/>
      </rPr>
      <t>e / kwh</t>
    </r>
  </si>
  <si>
    <r>
      <t>kg CO</t>
    </r>
    <r>
      <rPr>
        <vertAlign val="subscript"/>
        <sz val="11"/>
        <color theme="0"/>
        <rFont val="Calibri"/>
        <family val="2"/>
        <scheme val="minor"/>
      </rPr>
      <t>2</t>
    </r>
    <r>
      <rPr>
        <sz val="11"/>
        <color theme="0"/>
        <rFont val="Calibri"/>
        <family val="2"/>
        <scheme val="minor"/>
      </rPr>
      <t>e / GJ</t>
    </r>
  </si>
  <si>
    <r>
      <t>kg CO</t>
    </r>
    <r>
      <rPr>
        <vertAlign val="subscript"/>
        <sz val="11"/>
        <color theme="0"/>
        <rFont val="Calibri"/>
        <family val="2"/>
        <scheme val="minor"/>
      </rPr>
      <t>2</t>
    </r>
    <r>
      <rPr>
        <sz val="11"/>
        <color theme="0"/>
        <rFont val="Calibri"/>
        <family val="2"/>
        <scheme val="minor"/>
      </rPr>
      <t>e / kWh</t>
    </r>
  </si>
  <si>
    <t>Scope 2 Electricity
(Generation Intensity)</t>
  </si>
  <si>
    <t>Marginal Electricity
(Non-Baseload)</t>
  </si>
  <si>
    <t>Scope 2 &amp; 3 Electricity
(Consumption Intensity)</t>
  </si>
  <si>
    <t>Scope 1
Natural Gas</t>
  </si>
  <si>
    <t>Scope 3 Electricity
(Transmission Losses)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</si>
</sst>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quot;$&quot;#,##0;[Red]\-&quot;$&quot;#,##0"/>
    <numFmt numFmtId="165" formatCode="&quot;$&quot;#,##0.00;[Red]\-&quot;$&quot;#,##0.00"/>
    <numFmt numFmtId="166" formatCode="_-&quot;$&quot;* #,##0_-;\-&quot;$&quot;* #,##0_-;_-&quot;$&quot;* &quot;-&quot;_-;_-@_-"/>
    <numFmt numFmtId="167" formatCode="_-&quot;$&quot;* #,##0.00_-;\-&quot;$&quot;* #,##0.00_-;_-&quot;$&quot;* &quot;-&quot;??_-;_-@_-"/>
    <numFmt numFmtId="168" formatCode="&quot;$&quot;#,##0.00"/>
    <numFmt numFmtId="169" formatCode="0.0"/>
    <numFmt numFmtId="170" formatCode="&quot;$&quot;#,##0"/>
    <numFmt numFmtId="171" formatCode="_-&quot;$&quot;* #,##0_-;\-&quot;$&quot;* #,##0_-;_-&quot;$&quot;* &quot;-&quot;??_-;_-@_-"/>
    <numFmt numFmtId="172" formatCode="0.000"/>
    <numFmt numFmtId="173" formatCode="_(* #,##0_);_(* \(#,##0\);_(* &quot;-&quot;??_);_(@_)"/>
    <numFmt numFmtId="174" formatCode="0.0%"/>
    <numFmt numFmtId="175" formatCode="0.0000"/>
    <numFmt numFmtId="176" formatCode="\+#,##0;\-#,##0;0;"/>
    <numFmt numFmtId="177" formatCode="\+&quot;$&quot;#,##0;\-&quot;$&quot;#,##0;&quot;$&quot;0;"/>
    <numFmt numFmtId="178" formatCode="\+&quot;$&quot;#,##0.00;\-&quot;$&quot;#,##0.00;&quot;$&quot;0.00"/>
  </numFmts>
  <fonts count="27" x14ac:knownFonts="1">
    <font>
      <sz val="11"/>
      <color theme="1"/>
      <name val="Calibri"/>
      <family val="2"/>
      <scheme val="minor"/>
    </font>
    <font>
      <vertAlign val="subscript"/>
      <sz val="11"/>
      <color theme="1"/>
      <name val="Calibri"/>
      <family val="2"/>
      <scheme val="minor"/>
    </font>
    <font>
      <b/>
      <sz val="11"/>
      <color theme="0"/>
      <name val="Calibri"/>
      <family val="2"/>
      <scheme val="minor"/>
    </font>
    <font>
      <sz val="9"/>
      <color indexed="81"/>
      <name val="Tahoma"/>
      <family val="2"/>
    </font>
    <font>
      <b/>
      <sz val="9"/>
      <color indexed="81"/>
      <name val="Tahoma"/>
      <family val="2"/>
    </font>
    <font>
      <sz val="11"/>
      <color theme="1"/>
      <name val="Calibri"/>
      <family val="2"/>
      <scheme val="minor"/>
    </font>
    <font>
      <sz val="11"/>
      <color theme="1" tint="-0.499984740745262"/>
      <name val="Calibri"/>
      <family val="2"/>
      <scheme val="minor"/>
    </font>
    <font>
      <b/>
      <sz val="11"/>
      <color theme="1" tint="-0.499984740745262"/>
      <name val="Calibri"/>
      <family val="2"/>
      <scheme val="minor"/>
    </font>
    <font>
      <vertAlign val="superscript"/>
      <sz val="11"/>
      <color theme="1" tint="-0.499984740745262"/>
      <name val="Calibri"/>
      <family val="2"/>
      <scheme val="minor"/>
    </font>
    <font>
      <vertAlign val="subscript"/>
      <sz val="11"/>
      <color theme="1" tint="-0.499984740745262"/>
      <name val="Calibri"/>
      <family val="2"/>
      <scheme val="minor"/>
    </font>
    <font>
      <sz val="11"/>
      <color theme="1" tint="-0.499984740745262"/>
      <name val="Calibri"/>
      <family val="2"/>
    </font>
    <font>
      <i/>
      <sz val="11"/>
      <color theme="1" tint="-0.499984740745262"/>
      <name val="Calibri"/>
      <family val="2"/>
      <scheme val="minor"/>
    </font>
    <font>
      <sz val="11"/>
      <color theme="8" tint="-0.249977111117893"/>
      <name val="Calibri"/>
      <family val="2"/>
      <scheme val="minor"/>
    </font>
    <font>
      <b/>
      <sz val="11"/>
      <color theme="1" tint="-0.499984740745262"/>
      <name val="Calibri"/>
      <family val="2"/>
    </font>
    <font>
      <sz val="14"/>
      <color theme="1" tint="-0.499984740745262"/>
      <name val="Calibri"/>
      <family val="2"/>
      <scheme val="minor"/>
    </font>
    <font>
      <b/>
      <vertAlign val="subscript"/>
      <sz val="11"/>
      <color theme="1" tint="-0.499984740745262"/>
      <name val="Calibri"/>
      <family val="2"/>
      <scheme val="minor"/>
    </font>
    <font>
      <u/>
      <sz val="11"/>
      <color theme="1" tint="-0.499984740745262"/>
      <name val="Calibri"/>
      <family val="2"/>
      <scheme val="minor"/>
    </font>
    <font>
      <b/>
      <vertAlign val="superscript"/>
      <sz val="11"/>
      <color theme="1" tint="-0.499984740745262"/>
      <name val="Calibri"/>
      <family val="2"/>
      <scheme val="minor"/>
    </font>
    <font>
      <sz val="8"/>
      <color theme="0"/>
      <name val="Calibri"/>
      <family val="2"/>
      <scheme val="minor"/>
    </font>
    <font>
      <b/>
      <sz val="10"/>
      <color theme="1" tint="-0.499984740745262"/>
      <name val="Calibri"/>
      <family val="2"/>
      <scheme val="minor"/>
    </font>
    <font>
      <u/>
      <sz val="9"/>
      <color indexed="81"/>
      <name val="Tahoma"/>
      <family val="2"/>
    </font>
    <font>
      <b/>
      <sz val="11"/>
      <color theme="1"/>
      <name val="Calibri"/>
      <family val="2"/>
      <scheme val="minor"/>
    </font>
    <font>
      <sz val="36"/>
      <color theme="1"/>
      <name val="Calibri"/>
      <family val="2"/>
      <scheme val="minor"/>
    </font>
    <font>
      <sz val="9"/>
      <color theme="1" tint="-0.499984740745262"/>
      <name val="Calibri"/>
      <family val="2"/>
      <scheme val="minor"/>
    </font>
    <font>
      <sz val="11"/>
      <color theme="0"/>
      <name val="Calibri"/>
      <family val="2"/>
      <scheme val="minor"/>
    </font>
    <font>
      <vertAlign val="subscript"/>
      <sz val="11"/>
      <color theme="0"/>
      <name val="Calibri"/>
      <family val="2"/>
      <scheme val="minor"/>
    </font>
    <font>
      <sz val="11"/>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8"/>
        <bgColor theme="8"/>
      </patternFill>
    </fill>
    <fill>
      <patternFill patternType="solid">
        <fgColor theme="0" tint="-4.9989318521683403E-2"/>
        <bgColor indexed="64"/>
      </patternFill>
    </fill>
    <fill>
      <patternFill patternType="solid">
        <fgColor theme="8"/>
        <bgColor indexed="64"/>
      </patternFill>
    </fill>
    <fill>
      <patternFill patternType="solid">
        <fgColor theme="4"/>
        <bgColor indexed="64"/>
      </patternFill>
    </fill>
    <fill>
      <patternFill patternType="solid">
        <fgColor theme="8" tint="-0.749992370372631"/>
        <bgColor indexed="64"/>
      </patternFill>
    </fill>
    <fill>
      <patternFill patternType="solid">
        <fgColor rgb="FFFFFF00"/>
        <bgColor indexed="64"/>
      </patternFill>
    </fill>
    <fill>
      <patternFill patternType="solid">
        <fgColor rgb="FF00837B"/>
        <bgColor indexed="64"/>
      </patternFill>
    </fill>
    <fill>
      <patternFill patternType="solid">
        <fgColor rgb="FFBDBBBB"/>
        <bgColor indexed="64"/>
      </patternFill>
    </fill>
  </fills>
  <borders count="24">
    <border>
      <left/>
      <right/>
      <top/>
      <bottom/>
      <diagonal/>
    </border>
    <border>
      <left style="thin">
        <color theme="8"/>
      </left>
      <right/>
      <top style="thin">
        <color theme="8"/>
      </top>
      <bottom/>
      <diagonal/>
    </border>
    <border>
      <left style="thin">
        <color theme="8"/>
      </left>
      <right/>
      <top style="thin">
        <color theme="8"/>
      </top>
      <bottom style="thin">
        <color theme="8"/>
      </bottom>
      <diagonal/>
    </border>
    <border>
      <left/>
      <right/>
      <top style="thin">
        <color theme="8"/>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167"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cellStyleXfs>
  <cellXfs count="186">
    <xf numFmtId="0" fontId="0" fillId="0" borderId="0" xfId="0"/>
    <xf numFmtId="0" fontId="0" fillId="0" borderId="0" xfId="0" applyProtection="1">
      <protection hidden="1"/>
    </xf>
    <xf numFmtId="2" fontId="0" fillId="0" borderId="0" xfId="0" applyNumberFormat="1" applyProtection="1">
      <protection hidden="1"/>
    </xf>
    <xf numFmtId="0" fontId="0" fillId="0" borderId="0" xfId="0" applyAlignment="1" applyProtection="1">
      <protection hidden="1"/>
    </xf>
    <xf numFmtId="0" fontId="2" fillId="5" borderId="1" xfId="0" applyFont="1" applyFill="1" applyBorder="1" applyProtection="1">
      <protection hidden="1"/>
    </xf>
    <xf numFmtId="0" fontId="0" fillId="0" borderId="1" xfId="0" applyFont="1" applyBorder="1" applyProtection="1">
      <protection hidden="1"/>
    </xf>
    <xf numFmtId="0" fontId="0" fillId="0" borderId="0" xfId="0" applyFont="1" applyProtection="1">
      <protection hidden="1"/>
    </xf>
    <xf numFmtId="0" fontId="0" fillId="0" borderId="2" xfId="0" applyFont="1" applyBorder="1" applyProtection="1">
      <protection hidden="1"/>
    </xf>
    <xf numFmtId="0" fontId="0" fillId="0" borderId="3" xfId="0" applyFont="1" applyBorder="1"/>
    <xf numFmtId="0" fontId="0" fillId="0" borderId="3" xfId="0" quotePrefix="1" applyFont="1" applyBorder="1"/>
    <xf numFmtId="165" fontId="0" fillId="0" borderId="0" xfId="0" applyNumberFormat="1"/>
    <xf numFmtId="165" fontId="0" fillId="0" borderId="0" xfId="0" quotePrefix="1" applyNumberFormat="1"/>
    <xf numFmtId="2" fontId="0" fillId="0" borderId="0" xfId="0" applyNumberFormat="1"/>
    <xf numFmtId="0" fontId="0" fillId="0" borderId="0" xfId="0" applyFont="1" applyFill="1" applyBorder="1"/>
    <xf numFmtId="0" fontId="0" fillId="0" borderId="0" xfId="0" applyAlignment="1">
      <alignment wrapText="1"/>
    </xf>
    <xf numFmtId="0" fontId="0" fillId="0" borderId="0" xfId="0" applyAlignment="1">
      <alignment horizontal="center"/>
    </xf>
    <xf numFmtId="0" fontId="0" fillId="0" borderId="0" xfId="0" applyAlignment="1">
      <alignment horizontal="center"/>
    </xf>
    <xf numFmtId="1" fontId="0" fillId="0" borderId="0" xfId="0" applyNumberFormat="1" applyAlignment="1"/>
    <xf numFmtId="0" fontId="0" fillId="0" borderId="0" xfId="0" applyAlignment="1"/>
    <xf numFmtId="2" fontId="0" fillId="0" borderId="0" xfId="0" applyNumberFormat="1" applyAlignment="1"/>
    <xf numFmtId="0" fontId="0" fillId="0" borderId="0" xfId="0" applyAlignment="1">
      <alignment horizontal="left"/>
    </xf>
    <xf numFmtId="9" fontId="0" fillId="0" borderId="0" xfId="0" applyNumberFormat="1"/>
    <xf numFmtId="10" fontId="0" fillId="0" borderId="0" xfId="0" applyNumberFormat="1"/>
    <xf numFmtId="1" fontId="0" fillId="0" borderId="0" xfId="0" applyNumberFormat="1" applyFill="1" applyAlignment="1"/>
    <xf numFmtId="168" fontId="0" fillId="0" borderId="0" xfId="0" applyNumberFormat="1"/>
    <xf numFmtId="0" fontId="0" fillId="0" borderId="0" xfId="0" applyFont="1"/>
    <xf numFmtId="0" fontId="0" fillId="0" borderId="0" xfId="0" applyFont="1" applyBorder="1"/>
    <xf numFmtId="0" fontId="6" fillId="2" borderId="0" xfId="0" applyFont="1" applyFill="1"/>
    <xf numFmtId="0" fontId="7" fillId="2" borderId="0" xfId="0" applyFont="1" applyFill="1"/>
    <xf numFmtId="0" fontId="6" fillId="2" borderId="0" xfId="0" applyFont="1" applyFill="1" applyAlignment="1">
      <alignment horizontal="left"/>
    </xf>
    <xf numFmtId="0" fontId="6" fillId="2" borderId="0" xfId="0" quotePrefix="1" applyFont="1" applyFill="1"/>
    <xf numFmtId="0" fontId="6" fillId="2" borderId="0" xfId="0" applyFont="1" applyFill="1" applyBorder="1" applyProtection="1">
      <protection hidden="1"/>
    </xf>
    <xf numFmtId="0" fontId="6" fillId="2" borderId="0" xfId="0" applyNumberFormat="1" applyFont="1" applyFill="1" applyBorder="1" applyAlignment="1" applyProtection="1">
      <alignment horizontal="left"/>
      <protection hidden="1"/>
    </xf>
    <xf numFmtId="0" fontId="6" fillId="2" borderId="0" xfId="0" applyFont="1" applyFill="1" applyAlignment="1"/>
    <xf numFmtId="2" fontId="6" fillId="2" borderId="0" xfId="0" applyNumberFormat="1" applyFont="1" applyFill="1"/>
    <xf numFmtId="0" fontId="7" fillId="2" borderId="0" xfId="0" applyFont="1" applyFill="1" applyBorder="1" applyAlignment="1">
      <alignment horizontal="left"/>
    </xf>
    <xf numFmtId="0" fontId="6" fillId="3" borderId="4" xfId="0" applyFont="1" applyFill="1" applyBorder="1" applyAlignment="1">
      <alignment vertical="center"/>
    </xf>
    <xf numFmtId="0" fontId="6" fillId="3" borderId="4" xfId="0" applyFont="1" applyFill="1" applyBorder="1" applyAlignment="1">
      <alignment horizontal="right" vertical="center"/>
    </xf>
    <xf numFmtId="0" fontId="6" fillId="2" borderId="0" xfId="0" applyFont="1" applyFill="1" applyBorder="1" applyAlignment="1">
      <alignment horizontal="right" vertical="center"/>
    </xf>
    <xf numFmtId="1" fontId="6" fillId="2" borderId="0" xfId="0" applyNumberFormat="1" applyFont="1" applyFill="1"/>
    <xf numFmtId="0" fontId="6" fillId="2" borderId="0" xfId="0" applyFont="1" applyFill="1" applyAlignment="1">
      <alignment horizontal="right"/>
    </xf>
    <xf numFmtId="170" fontId="6" fillId="7" borderId="4" xfId="0" applyNumberFormat="1" applyFont="1" applyFill="1" applyBorder="1" applyAlignment="1">
      <alignment vertical="center"/>
    </xf>
    <xf numFmtId="3" fontId="6" fillId="7" borderId="4" xfId="0" applyNumberFormat="1" applyFont="1" applyFill="1" applyBorder="1" applyAlignment="1">
      <alignment vertical="center"/>
    </xf>
    <xf numFmtId="170" fontId="6" fillId="7" borderId="4" xfId="1" applyNumberFormat="1" applyFont="1" applyFill="1" applyBorder="1" applyAlignment="1">
      <alignment horizontal="right" vertical="center"/>
    </xf>
    <xf numFmtId="3" fontId="6" fillId="7" borderId="4" xfId="0" applyNumberFormat="1" applyFont="1" applyFill="1" applyBorder="1" applyAlignment="1">
      <alignment horizontal="right" vertical="center"/>
    </xf>
    <xf numFmtId="0" fontId="6" fillId="7" borderId="4" xfId="0" applyFont="1" applyFill="1" applyBorder="1" applyAlignment="1">
      <alignment horizontal="right" vertical="center"/>
    </xf>
    <xf numFmtId="170" fontId="6" fillId="7" borderId="4" xfId="0" applyNumberFormat="1" applyFont="1" applyFill="1" applyBorder="1" applyAlignment="1">
      <alignment horizontal="right" vertical="center"/>
    </xf>
    <xf numFmtId="164" fontId="6" fillId="7" borderId="4" xfId="0" applyNumberFormat="1" applyFont="1" applyFill="1" applyBorder="1" applyAlignment="1">
      <alignment horizontal="right" vertical="center"/>
    </xf>
    <xf numFmtId="0" fontId="7" fillId="8" borderId="4" xfId="0" applyFont="1" applyFill="1" applyBorder="1" applyAlignment="1">
      <alignment horizontal="left" wrapText="1"/>
    </xf>
    <xf numFmtId="0" fontId="6" fillId="2" borderId="0" xfId="0" applyFont="1" applyFill="1" applyBorder="1"/>
    <xf numFmtId="0" fontId="12" fillId="9" borderId="0" xfId="0" applyFont="1" applyFill="1"/>
    <xf numFmtId="170" fontId="6" fillId="7" borderId="4" xfId="0" applyNumberFormat="1" applyFont="1" applyFill="1" applyBorder="1"/>
    <xf numFmtId="168" fontId="6" fillId="7" borderId="4" xfId="0" applyNumberFormat="1" applyFont="1" applyFill="1" applyBorder="1"/>
    <xf numFmtId="165" fontId="6" fillId="3" borderId="4" xfId="0" applyNumberFormat="1" applyFont="1" applyFill="1" applyBorder="1" applyAlignment="1">
      <alignment horizontal="right"/>
    </xf>
    <xf numFmtId="0" fontId="6" fillId="3" borderId="4" xfId="0" quotePrefix="1" applyFont="1" applyFill="1" applyBorder="1" applyAlignment="1">
      <alignment horizontal="left"/>
    </xf>
    <xf numFmtId="170" fontId="6" fillId="6" borderId="4" xfId="0" applyNumberFormat="1" applyFont="1" applyFill="1" applyBorder="1"/>
    <xf numFmtId="0" fontId="6" fillId="2" borderId="0" xfId="0" applyFont="1" applyFill="1" applyBorder="1" applyAlignment="1">
      <alignment horizontal="right"/>
    </xf>
    <xf numFmtId="168" fontId="6" fillId="4" borderId="7" xfId="0" applyNumberFormat="1" applyFont="1" applyFill="1" applyBorder="1"/>
    <xf numFmtId="0" fontId="7" fillId="2" borderId="6" xfId="0" applyFont="1" applyFill="1" applyBorder="1" applyAlignment="1">
      <alignment wrapText="1"/>
    </xf>
    <xf numFmtId="0" fontId="6" fillId="6" borderId="0" xfId="0" applyFont="1" applyFill="1" applyBorder="1"/>
    <xf numFmtId="173" fontId="6" fillId="6" borderId="0" xfId="3" applyNumberFormat="1" applyFont="1" applyFill="1" applyBorder="1"/>
    <xf numFmtId="0" fontId="6" fillId="2" borderId="0" xfId="0" applyFont="1" applyFill="1" applyAlignment="1">
      <alignment vertical="top" wrapText="1"/>
    </xf>
    <xf numFmtId="0" fontId="0" fillId="2" borderId="0" xfId="0" applyFill="1"/>
    <xf numFmtId="170" fontId="6" fillId="2" borderId="9" xfId="0" applyNumberFormat="1" applyFont="1" applyFill="1" applyBorder="1"/>
    <xf numFmtId="168" fontId="6" fillId="2" borderId="9" xfId="0" applyNumberFormat="1" applyFont="1" applyFill="1" applyBorder="1"/>
    <xf numFmtId="0" fontId="0" fillId="2" borderId="0" xfId="0" applyFill="1" applyBorder="1"/>
    <xf numFmtId="0" fontId="11" fillId="2" borderId="6" xfId="0" applyFont="1" applyFill="1" applyBorder="1" applyAlignment="1">
      <alignment horizontal="right" wrapText="1"/>
    </xf>
    <xf numFmtId="0" fontId="7" fillId="2" borderId="0" xfId="0" applyFont="1" applyFill="1" applyAlignment="1">
      <alignment horizontal="right"/>
    </xf>
    <xf numFmtId="0" fontId="7" fillId="2" borderId="0" xfId="0" applyFont="1" applyFill="1" applyBorder="1" applyAlignment="1">
      <alignment horizontal="right"/>
    </xf>
    <xf numFmtId="0" fontId="16" fillId="2" borderId="0" xfId="0" applyFont="1" applyFill="1" applyBorder="1" applyAlignment="1">
      <alignment horizontal="right" wrapText="1"/>
    </xf>
    <xf numFmtId="0" fontId="18" fillId="2" borderId="0" xfId="0" applyFont="1" applyFill="1" applyAlignment="1">
      <alignment horizontal="right"/>
    </xf>
    <xf numFmtId="0" fontId="6" fillId="2" borderId="0" xfId="0" applyFont="1" applyFill="1" applyAlignment="1">
      <alignment horizontal="left" wrapText="1"/>
    </xf>
    <xf numFmtId="0" fontId="7" fillId="8" borderId="4" xfId="0" applyFont="1" applyFill="1" applyBorder="1" applyAlignment="1">
      <alignment horizontal="left" wrapText="1"/>
    </xf>
    <xf numFmtId="170" fontId="0" fillId="0" borderId="0" xfId="0" applyNumberFormat="1"/>
    <xf numFmtId="175" fontId="0" fillId="0" borderId="0" xfId="0" applyNumberFormat="1"/>
    <xf numFmtId="3" fontId="0" fillId="6" borderId="4" xfId="0" applyNumberFormat="1" applyFont="1" applyFill="1" applyBorder="1"/>
    <xf numFmtId="3" fontId="0" fillId="2" borderId="9" xfId="0" applyNumberFormat="1" applyFont="1" applyFill="1" applyBorder="1"/>
    <xf numFmtId="3" fontId="21" fillId="6" borderId="4" xfId="0" applyNumberFormat="1" applyFont="1" applyFill="1" applyBorder="1"/>
    <xf numFmtId="3" fontId="21" fillId="2" borderId="9" xfId="0" applyNumberFormat="1" applyFont="1" applyFill="1" applyBorder="1"/>
    <xf numFmtId="1" fontId="0" fillId="6" borderId="4" xfId="0" applyNumberFormat="1" applyFont="1" applyFill="1" applyBorder="1"/>
    <xf numFmtId="1" fontId="0" fillId="2" borderId="9" xfId="0" applyNumberFormat="1" applyFont="1" applyFill="1" applyBorder="1"/>
    <xf numFmtId="0" fontId="21" fillId="2" borderId="6" xfId="0" applyFont="1" applyFill="1" applyBorder="1" applyAlignment="1">
      <alignment wrapText="1"/>
    </xf>
    <xf numFmtId="0" fontId="21" fillId="2" borderId="0" xfId="0" applyFont="1" applyFill="1" applyBorder="1" applyAlignment="1">
      <alignment wrapText="1"/>
    </xf>
    <xf numFmtId="170" fontId="0" fillId="4" borderId="4" xfId="0" applyNumberFormat="1" applyFont="1" applyFill="1" applyBorder="1"/>
    <xf numFmtId="170" fontId="0" fillId="2" borderId="9" xfId="0" applyNumberFormat="1" applyFont="1" applyFill="1" applyBorder="1"/>
    <xf numFmtId="170" fontId="0" fillId="6" borderId="4" xfId="0" applyNumberFormat="1" applyFont="1" applyFill="1" applyBorder="1"/>
    <xf numFmtId="170" fontId="0" fillId="7" borderId="4" xfId="0" applyNumberFormat="1" applyFont="1" applyFill="1" applyBorder="1"/>
    <xf numFmtId="168" fontId="0" fillId="6" borderId="4" xfId="0" applyNumberFormat="1" applyFont="1" applyFill="1" applyBorder="1"/>
    <xf numFmtId="168" fontId="0" fillId="2" borderId="9" xfId="0" applyNumberFormat="1" applyFont="1" applyFill="1" applyBorder="1"/>
    <xf numFmtId="168" fontId="0" fillId="7" borderId="4" xfId="0" applyNumberFormat="1" applyFont="1" applyFill="1" applyBorder="1"/>
    <xf numFmtId="170" fontId="21" fillId="6" borderId="4" xfId="0" applyNumberFormat="1" applyFont="1" applyFill="1" applyBorder="1"/>
    <xf numFmtId="170" fontId="21" fillId="2" borderId="9" xfId="0" applyNumberFormat="1" applyFont="1" applyFill="1" applyBorder="1"/>
    <xf numFmtId="0" fontId="0" fillId="2" borderId="0" xfId="0" applyFont="1" applyFill="1" applyBorder="1" applyAlignment="1">
      <alignment horizontal="right"/>
    </xf>
    <xf numFmtId="174" fontId="0" fillId="7" borderId="6" xfId="2" applyNumberFormat="1" applyFont="1" applyFill="1" applyBorder="1"/>
    <xf numFmtId="0" fontId="0" fillId="2" borderId="0" xfId="0" applyFont="1" applyFill="1" applyAlignment="1">
      <alignment horizontal="right"/>
    </xf>
    <xf numFmtId="0" fontId="0" fillId="7" borderId="5" xfId="0" applyFont="1" applyFill="1" applyBorder="1" applyAlignment="1"/>
    <xf numFmtId="0" fontId="0" fillId="2" borderId="0" xfId="0" applyFont="1" applyFill="1" applyBorder="1"/>
    <xf numFmtId="0" fontId="6" fillId="3" borderId="5" xfId="0" applyFont="1" applyFill="1" applyBorder="1" applyAlignment="1" applyProtection="1">
      <alignment horizontal="center"/>
      <protection locked="0" hidden="1"/>
    </xf>
    <xf numFmtId="0" fontId="6" fillId="3" borderId="5" xfId="0" applyFont="1" applyFill="1" applyBorder="1" applyProtection="1">
      <protection locked="0" hidden="1"/>
    </xf>
    <xf numFmtId="0" fontId="6" fillId="3" borderId="5" xfId="0" applyFont="1" applyFill="1" applyBorder="1" applyProtection="1">
      <protection locked="0"/>
    </xf>
    <xf numFmtId="0" fontId="6" fillId="3" borderId="4" xfId="0" quotePrefix="1" applyFont="1" applyFill="1" applyBorder="1" applyAlignment="1" applyProtection="1">
      <alignment horizontal="left"/>
      <protection locked="0"/>
    </xf>
    <xf numFmtId="9" fontId="6" fillId="3" borderId="4" xfId="2" applyFont="1" applyFill="1" applyBorder="1" applyAlignment="1" applyProtection="1">
      <protection locked="0"/>
    </xf>
    <xf numFmtId="0" fontId="6" fillId="3" borderId="5" xfId="0" applyFont="1" applyFill="1" applyBorder="1" applyAlignment="1" applyProtection="1">
      <protection locked="0"/>
    </xf>
    <xf numFmtId="0" fontId="6" fillId="3" borderId="4" xfId="0" applyFont="1" applyFill="1" applyBorder="1" applyAlignment="1" applyProtection="1">
      <alignment horizontal="left" vertical="center"/>
      <protection locked="0"/>
    </xf>
    <xf numFmtId="3" fontId="6" fillId="3" borderId="4" xfId="0" applyNumberFormat="1" applyFont="1" applyFill="1" applyBorder="1" applyAlignment="1" applyProtection="1">
      <alignment vertical="center"/>
      <protection locked="0"/>
    </xf>
    <xf numFmtId="3" fontId="6" fillId="3" borderId="4" xfId="0" applyNumberFormat="1" applyFont="1" applyFill="1" applyBorder="1" applyAlignment="1" applyProtection="1">
      <alignment horizontal="right" vertical="center"/>
      <protection locked="0"/>
    </xf>
    <xf numFmtId="1" fontId="6" fillId="3" borderId="4" xfId="0" applyNumberFormat="1" applyFont="1" applyFill="1" applyBorder="1" applyAlignment="1" applyProtection="1">
      <alignment vertical="center"/>
      <protection locked="0"/>
    </xf>
    <xf numFmtId="170" fontId="6" fillId="3" borderId="4" xfId="1" applyNumberFormat="1" applyFont="1" applyFill="1" applyBorder="1" applyAlignment="1" applyProtection="1">
      <alignment vertical="center"/>
      <protection locked="0"/>
    </xf>
    <xf numFmtId="0" fontId="6" fillId="3" borderId="4" xfId="0" applyFont="1" applyFill="1" applyBorder="1" applyAlignment="1" applyProtection="1">
      <alignment horizontal="right" vertical="center"/>
      <protection locked="0"/>
    </xf>
    <xf numFmtId="170" fontId="6" fillId="3" borderId="4" xfId="1" applyNumberFormat="1" applyFont="1" applyFill="1" applyBorder="1" applyAlignment="1" applyProtection="1">
      <alignment horizontal="right" vertical="center"/>
      <protection locked="0"/>
    </xf>
    <xf numFmtId="166" fontId="6" fillId="3" borderId="4" xfId="1" applyNumberFormat="1" applyFont="1" applyFill="1" applyBorder="1" applyAlignment="1" applyProtection="1">
      <alignment horizontal="right" vertical="center"/>
      <protection locked="0"/>
    </xf>
    <xf numFmtId="171" fontId="6" fillId="3" borderId="4" xfId="1" applyNumberFormat="1" applyFont="1" applyFill="1" applyBorder="1" applyAlignment="1" applyProtection="1">
      <alignment horizontal="right" vertical="center"/>
      <protection locked="0"/>
    </xf>
    <xf numFmtId="0" fontId="6" fillId="2" borderId="0" xfId="0" applyFont="1" applyFill="1" applyAlignment="1">
      <alignment horizontal="left" indent="1"/>
    </xf>
    <xf numFmtId="0" fontId="6" fillId="2" borderId="0" xfId="0" applyFont="1" applyFill="1" applyAlignment="1">
      <alignment horizontal="right"/>
    </xf>
    <xf numFmtId="0" fontId="6" fillId="2" borderId="0" xfId="0" applyFont="1" applyFill="1" applyBorder="1" applyAlignment="1" applyProtection="1">
      <alignment horizontal="right"/>
      <protection hidden="1"/>
    </xf>
    <xf numFmtId="0" fontId="6" fillId="3" borderId="5" xfId="0" applyNumberFormat="1" applyFont="1" applyFill="1" applyBorder="1" applyAlignment="1" applyProtection="1">
      <protection locked="0" hidden="1"/>
    </xf>
    <xf numFmtId="0" fontId="6" fillId="3" borderId="5" xfId="0" applyFont="1" applyFill="1" applyBorder="1" applyAlignment="1" applyProtection="1">
      <protection locked="0" hidden="1"/>
    </xf>
    <xf numFmtId="0" fontId="6" fillId="2" borderId="0" xfId="0" applyFont="1" applyFill="1" applyAlignment="1">
      <alignment wrapText="1"/>
    </xf>
    <xf numFmtId="0" fontId="0" fillId="10" borderId="0" xfId="0" applyFill="1"/>
    <xf numFmtId="174" fontId="0" fillId="7" borderId="6" xfId="2" applyNumberFormat="1" applyFont="1" applyFill="1" applyBorder="1" applyAlignment="1">
      <alignment horizontal="right"/>
    </xf>
    <xf numFmtId="176" fontId="0" fillId="7" borderId="4" xfId="0" applyNumberFormat="1" applyFont="1" applyFill="1" applyBorder="1"/>
    <xf numFmtId="176" fontId="21" fillId="7" borderId="4" xfId="0" applyNumberFormat="1" applyFont="1" applyFill="1" applyBorder="1"/>
    <xf numFmtId="177" fontId="0" fillId="7" borderId="4" xfId="0" applyNumberFormat="1" applyFont="1" applyFill="1" applyBorder="1"/>
    <xf numFmtId="177" fontId="21" fillId="7" borderId="4" xfId="0" applyNumberFormat="1" applyFont="1" applyFill="1" applyBorder="1"/>
    <xf numFmtId="178" fontId="0" fillId="7" borderId="4" xfId="0" applyNumberFormat="1" applyFont="1" applyFill="1" applyBorder="1"/>
    <xf numFmtId="176" fontId="0" fillId="7" borderId="6" xfId="0" applyNumberFormat="1" applyFont="1" applyFill="1" applyBorder="1"/>
    <xf numFmtId="176" fontId="0" fillId="7" borderId="14" xfId="0" applyNumberFormat="1" applyFont="1" applyFill="1" applyBorder="1"/>
    <xf numFmtId="0" fontId="23" fillId="2" borderId="0" xfId="0" applyFont="1" applyFill="1" applyAlignment="1">
      <alignment horizontal="right" vertical="top" wrapText="1"/>
    </xf>
    <xf numFmtId="0" fontId="6" fillId="3" borderId="4" xfId="0" applyFont="1" applyFill="1" applyBorder="1" applyAlignment="1" applyProtection="1">
      <alignment horizontal="left"/>
      <protection locked="0"/>
    </xf>
    <xf numFmtId="0" fontId="6" fillId="3" borderId="4" xfId="0" quotePrefix="1" applyFont="1" applyFill="1" applyBorder="1" applyAlignment="1" applyProtection="1">
      <alignment horizontal="left"/>
    </xf>
    <xf numFmtId="0" fontId="6" fillId="2" borderId="0" xfId="0" applyFont="1" applyFill="1" applyAlignment="1">
      <alignment horizontal="left" wrapText="1"/>
    </xf>
    <xf numFmtId="169" fontId="0" fillId="7" borderId="6" xfId="0" applyNumberFormat="1" applyFill="1" applyBorder="1" applyAlignment="1">
      <alignment horizontal="right"/>
    </xf>
    <xf numFmtId="0" fontId="0" fillId="11" borderId="0" xfId="0" applyFill="1"/>
    <xf numFmtId="0" fontId="7" fillId="12" borderId="4" xfId="0" applyFont="1" applyFill="1" applyBorder="1" applyAlignment="1">
      <alignment horizontal="left" wrapText="1"/>
    </xf>
    <xf numFmtId="0" fontId="6" fillId="12" borderId="4" xfId="0" applyFont="1" applyFill="1" applyBorder="1" applyAlignment="1">
      <alignment horizontal="left"/>
    </xf>
    <xf numFmtId="0" fontId="6" fillId="12" borderId="4" xfId="0" applyFont="1" applyFill="1" applyBorder="1" applyAlignment="1">
      <alignment horizontal="right"/>
    </xf>
    <xf numFmtId="0" fontId="12" fillId="11" borderId="0" xfId="0" applyFont="1" applyFill="1"/>
    <xf numFmtId="0" fontId="24" fillId="11" borderId="16" xfId="0" applyFont="1" applyFill="1" applyBorder="1" applyAlignment="1">
      <alignment horizontal="center" vertical="center" wrapText="1"/>
    </xf>
    <xf numFmtId="0" fontId="24" fillId="11" borderId="18" xfId="0" applyFont="1" applyFill="1" applyBorder="1" applyAlignment="1" applyProtection="1">
      <protection hidden="1"/>
    </xf>
    <xf numFmtId="0" fontId="24" fillId="11" borderId="15" xfId="0" applyFont="1" applyFill="1" applyBorder="1" applyAlignment="1" applyProtection="1">
      <alignment horizontal="center"/>
      <protection hidden="1"/>
    </xf>
    <xf numFmtId="0" fontId="24" fillId="11" borderId="18" xfId="0" applyFont="1" applyFill="1" applyBorder="1" applyAlignment="1" applyProtection="1">
      <alignment horizontal="center"/>
      <protection hidden="1"/>
    </xf>
    <xf numFmtId="0" fontId="24" fillId="11" borderId="15" xfId="0" applyFont="1" applyFill="1" applyBorder="1" applyProtection="1">
      <protection hidden="1"/>
    </xf>
    <xf numFmtId="0" fontId="24" fillId="11" borderId="17" xfId="0" applyFont="1" applyFill="1" applyBorder="1" applyProtection="1">
      <protection hidden="1"/>
    </xf>
    <xf numFmtId="0" fontId="26" fillId="0" borderId="19" xfId="0" applyFont="1" applyBorder="1" applyProtection="1">
      <protection hidden="1"/>
    </xf>
    <xf numFmtId="4" fontId="26" fillId="0" borderId="16" xfId="0" applyNumberFormat="1" applyFont="1" applyBorder="1" applyProtection="1">
      <protection hidden="1"/>
    </xf>
    <xf numFmtId="2" fontId="26" fillId="0" borderId="20" xfId="0" applyNumberFormat="1" applyFont="1" applyBorder="1" applyProtection="1">
      <protection hidden="1"/>
    </xf>
    <xf numFmtId="0" fontId="26" fillId="0" borderId="0" xfId="0" applyFont="1" applyProtection="1">
      <protection hidden="1"/>
    </xf>
    <xf numFmtId="2" fontId="26" fillId="0" borderId="0" xfId="0" applyNumberFormat="1" applyFont="1" applyProtection="1">
      <protection hidden="1"/>
    </xf>
    <xf numFmtId="0" fontId="26" fillId="0" borderId="21" xfId="0" applyFont="1" applyBorder="1" applyProtection="1">
      <protection hidden="1"/>
    </xf>
    <xf numFmtId="4" fontId="26" fillId="0" borderId="22" xfId="0" applyNumberFormat="1" applyFont="1" applyBorder="1" applyProtection="1">
      <protection hidden="1"/>
    </xf>
    <xf numFmtId="2" fontId="26" fillId="0" borderId="23" xfId="0" applyNumberFormat="1" applyFont="1" applyBorder="1" applyProtection="1">
      <protection hidden="1"/>
    </xf>
    <xf numFmtId="0" fontId="22" fillId="2" borderId="0" xfId="0" applyFont="1" applyFill="1" applyAlignment="1">
      <alignment horizontal="right" wrapText="1"/>
    </xf>
    <xf numFmtId="0" fontId="22" fillId="2" borderId="0" xfId="0" applyFont="1" applyFill="1" applyAlignment="1">
      <alignment horizontal="right"/>
    </xf>
    <xf numFmtId="0" fontId="6" fillId="2" borderId="0" xfId="0" applyFont="1" applyFill="1" applyAlignment="1">
      <alignment horizontal="left" wrapText="1"/>
    </xf>
    <xf numFmtId="0" fontId="6" fillId="2" borderId="0" xfId="0" applyFont="1" applyFill="1" applyAlignment="1">
      <alignment horizontal="left" vertical="top" wrapText="1"/>
    </xf>
    <xf numFmtId="0" fontId="6" fillId="3" borderId="4" xfId="0" applyFont="1" applyFill="1" applyBorder="1" applyAlignment="1" applyProtection="1">
      <alignment horizontal="left"/>
      <protection locked="0"/>
    </xf>
    <xf numFmtId="0" fontId="6" fillId="3" borderId="4" xfId="0" applyFont="1" applyFill="1" applyBorder="1" applyAlignment="1">
      <alignment horizontal="left"/>
    </xf>
    <xf numFmtId="2" fontId="6" fillId="3" borderId="4" xfId="0" applyNumberFormat="1" applyFont="1" applyFill="1" applyBorder="1" applyAlignment="1" applyProtection="1">
      <alignment horizontal="right"/>
      <protection locked="0"/>
    </xf>
    <xf numFmtId="0" fontId="6" fillId="3" borderId="5" xfId="0" applyNumberFormat="1" applyFont="1" applyFill="1" applyBorder="1" applyAlignment="1" applyProtection="1">
      <alignment horizontal="left"/>
      <protection locked="0" hidden="1"/>
    </xf>
    <xf numFmtId="0" fontId="6" fillId="3" borderId="5" xfId="0" applyFont="1" applyFill="1" applyBorder="1" applyAlignment="1" applyProtection="1">
      <alignment horizontal="left"/>
      <protection locked="0" hidden="1"/>
    </xf>
    <xf numFmtId="0" fontId="6" fillId="12" borderId="4" xfId="0" applyFont="1" applyFill="1" applyBorder="1" applyAlignment="1">
      <alignment horizontal="left"/>
    </xf>
    <xf numFmtId="0" fontId="6" fillId="12" borderId="4" xfId="0" applyFont="1" applyFill="1" applyBorder="1" applyAlignment="1">
      <alignment horizontal="right"/>
    </xf>
    <xf numFmtId="172" fontId="6" fillId="3" borderId="4" xfId="0" applyNumberFormat="1" applyFont="1" applyFill="1" applyBorder="1" applyAlignment="1" applyProtection="1">
      <alignment horizontal="right"/>
      <protection locked="0"/>
    </xf>
    <xf numFmtId="0" fontId="6" fillId="2" borderId="0" xfId="0" applyFont="1" applyFill="1" applyAlignment="1">
      <alignment wrapText="1"/>
    </xf>
    <xf numFmtId="0" fontId="6" fillId="2" borderId="0" xfId="0" applyFont="1" applyFill="1" applyAlignment="1">
      <alignment horizontal="right"/>
    </xf>
    <xf numFmtId="0" fontId="6" fillId="3" borderId="5" xfId="0" applyNumberFormat="1" applyFont="1" applyFill="1" applyBorder="1" applyAlignment="1" applyProtection="1">
      <protection locked="0" hidden="1"/>
    </xf>
    <xf numFmtId="165" fontId="6" fillId="3" borderId="4" xfId="0" applyNumberFormat="1" applyFont="1" applyFill="1" applyBorder="1" applyAlignment="1" applyProtection="1">
      <alignment horizontal="right"/>
      <protection locked="0"/>
    </xf>
    <xf numFmtId="0" fontId="6" fillId="3" borderId="4" xfId="0" applyFont="1" applyFill="1" applyBorder="1" applyAlignment="1" applyProtection="1">
      <alignment horizontal="right"/>
    </xf>
    <xf numFmtId="0" fontId="7" fillId="12" borderId="4" xfId="0" applyFont="1" applyFill="1" applyBorder="1" applyAlignment="1">
      <alignment horizontal="left" wrapText="1"/>
    </xf>
    <xf numFmtId="0" fontId="6" fillId="3" borderId="5" xfId="0" applyFont="1" applyFill="1" applyBorder="1" applyAlignment="1" applyProtection="1">
      <alignment horizontal="left"/>
      <protection locked="0"/>
    </xf>
    <xf numFmtId="0" fontId="6" fillId="3" borderId="4" xfId="0" applyFont="1" applyFill="1" applyBorder="1" applyAlignment="1" applyProtection="1">
      <alignment vertical="center"/>
      <protection locked="0"/>
    </xf>
    <xf numFmtId="0" fontId="19" fillId="12" borderId="7" xfId="0" applyFont="1" applyFill="1" applyBorder="1" applyAlignment="1">
      <alignment horizontal="center" vertical="center" wrapText="1"/>
    </xf>
    <xf numFmtId="0" fontId="19" fillId="12" borderId="8" xfId="0" applyFont="1" applyFill="1" applyBorder="1" applyAlignment="1">
      <alignment horizontal="center" vertical="center" wrapText="1"/>
    </xf>
    <xf numFmtId="0" fontId="14" fillId="6" borderId="0" xfId="0" applyFont="1" applyFill="1" applyBorder="1" applyAlignment="1">
      <alignment horizontal="left" vertical="top"/>
    </xf>
    <xf numFmtId="0" fontId="0" fillId="0" borderId="0" xfId="0" applyFont="1" applyFill="1" applyBorder="1" applyAlignment="1">
      <alignment horizontal="center"/>
    </xf>
    <xf numFmtId="0" fontId="7" fillId="12" borderId="10" xfId="0" applyFont="1" applyFill="1" applyBorder="1" applyAlignment="1">
      <alignment horizontal="center" vertical="center" wrapText="1"/>
    </xf>
    <xf numFmtId="0" fontId="7" fillId="12" borderId="11" xfId="0" applyFont="1" applyFill="1" applyBorder="1" applyAlignment="1">
      <alignment horizontal="center" vertical="center" wrapText="1"/>
    </xf>
    <xf numFmtId="0" fontId="7" fillId="12" borderId="12" xfId="0" applyFont="1" applyFill="1" applyBorder="1" applyAlignment="1">
      <alignment horizontal="center" vertical="center" wrapText="1"/>
    </xf>
    <xf numFmtId="0" fontId="7" fillId="12" borderId="13" xfId="0" applyFont="1" applyFill="1" applyBorder="1" applyAlignment="1">
      <alignment horizontal="center" vertical="center" wrapText="1"/>
    </xf>
    <xf numFmtId="0" fontId="0" fillId="0" borderId="0" xfId="0" applyAlignment="1" applyProtection="1">
      <alignment horizontal="center"/>
      <protection hidden="1"/>
    </xf>
    <xf numFmtId="0" fontId="24" fillId="11" borderId="15" xfId="0" applyFont="1" applyFill="1" applyBorder="1" applyAlignment="1" applyProtection="1">
      <alignment horizontal="center"/>
      <protection hidden="1"/>
    </xf>
    <xf numFmtId="0" fontId="24" fillId="11" borderId="16" xfId="0" applyFont="1" applyFill="1" applyBorder="1" applyAlignment="1" applyProtection="1">
      <alignment horizontal="center" wrapText="1"/>
      <protection hidden="1"/>
    </xf>
    <xf numFmtId="0" fontId="24" fillId="11" borderId="20" xfId="0" applyFont="1" applyFill="1" applyBorder="1" applyAlignment="1" applyProtection="1">
      <alignment horizontal="center"/>
      <protection hidden="1"/>
    </xf>
    <xf numFmtId="0" fontId="0" fillId="11" borderId="17" xfId="0" applyFill="1" applyBorder="1" applyAlignment="1" applyProtection="1">
      <alignment horizontal="center"/>
      <protection hidden="1"/>
    </xf>
    <xf numFmtId="0" fontId="0" fillId="11" borderId="19" xfId="0" applyFill="1" applyBorder="1" applyAlignment="1" applyProtection="1">
      <alignment horizontal="center"/>
      <protection hidden="1"/>
    </xf>
    <xf numFmtId="0" fontId="0" fillId="0" borderId="0" xfId="0" applyBorder="1" applyAlignment="1">
      <alignment horizontal="center"/>
    </xf>
  </cellXfs>
  <cellStyles count="4">
    <cellStyle name="Comma" xfId="3" builtinId="3"/>
    <cellStyle name="Currency" xfId="1" builtinId="4"/>
    <cellStyle name="Normal" xfId="0" builtinId="0"/>
    <cellStyle name="Percent" xfId="2" builtinId="5"/>
  </cellStyles>
  <dxfs count="54">
    <dxf>
      <protection locked="1" hidden="1"/>
    </dxf>
    <dxf>
      <protection locked="1" hidden="1"/>
    </dxf>
    <dxf>
      <protection locked="1" hidden="1"/>
    </dxf>
    <dxf>
      <protection locked="1" hidden="1"/>
    </dxf>
    <dxf>
      <protection locked="1" hidden="1"/>
    </dxf>
    <dxf>
      <protection locked="1" hidden="1"/>
    </dxf>
    <dxf>
      <font>
        <color theme="8"/>
      </font>
    </dxf>
    <dxf>
      <font>
        <color theme="2" tint="-9.9948118533890809E-2"/>
      </font>
    </dxf>
    <dxf>
      <font>
        <color theme="8"/>
      </font>
    </dxf>
    <dxf>
      <font>
        <color theme="2" tint="-9.9948118533890809E-2"/>
      </font>
    </dxf>
    <dxf>
      <font>
        <color theme="8"/>
      </font>
    </dxf>
    <dxf>
      <font>
        <color theme="2" tint="-9.9948118533890809E-2"/>
      </font>
    </dxf>
    <dxf>
      <font>
        <color theme="8"/>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ill>
        <patternFill>
          <bgColor theme="8" tint="-0.499984740745262"/>
        </patternFill>
      </fill>
    </dxf>
    <dxf>
      <font>
        <color theme="2" tint="-9.9948118533890809E-2"/>
      </font>
    </dxf>
    <dxf>
      <font>
        <color theme="2" tint="-9.9948118533890809E-2"/>
      </font>
    </dxf>
    <dxf>
      <font>
        <color theme="2" tint="-9.9948118533890809E-2"/>
      </font>
    </dxf>
    <dxf>
      <font>
        <color theme="2" tint="-9.9948118533890809E-2"/>
      </font>
    </dxf>
    <dxf>
      <font>
        <color theme="0" tint="-4.9989318521683403E-2"/>
      </font>
    </dxf>
    <dxf>
      <font>
        <color theme="0" tint="-4.9989318521683403E-2"/>
      </font>
    </dxf>
    <dxf>
      <font>
        <color theme="8"/>
      </font>
    </dxf>
    <dxf>
      <font>
        <color theme="0" tint="-4.9989318521683403E-2"/>
      </font>
    </dxf>
    <dxf>
      <font>
        <color theme="8"/>
      </font>
    </dxf>
    <dxf>
      <font>
        <color theme="0" tint="-4.9989318521683403E-2"/>
      </font>
    </dxf>
    <dxf>
      <font>
        <color theme="2" tint="-9.9948118533890809E-2"/>
      </font>
    </dxf>
    <dxf>
      <font>
        <color theme="2" tint="-9.9948118533890809E-2"/>
      </font>
    </dxf>
    <dxf>
      <fill>
        <patternFill>
          <bgColor theme="8" tint="-0.499984740745262"/>
        </patternFill>
      </fill>
    </dxf>
    <dxf>
      <font>
        <color theme="8" tint="-0.499984740745262"/>
      </font>
    </dxf>
    <dxf>
      <fill>
        <patternFill>
          <bgColor theme="8" tint="-0.499984740745262"/>
        </patternFill>
      </fill>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ill>
        <patternFill>
          <bgColor theme="8" tint="-0.499984740745262"/>
        </patternFill>
      </fill>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s>
  <tableStyles count="0" defaultTableStyle="TableStyleMedium2" defaultPivotStyle="PivotStyleLight16"/>
  <colors>
    <mruColors>
      <color rgb="FF00837B"/>
      <color rgb="FFBDBB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13</xdr:col>
      <xdr:colOff>586468</xdr:colOff>
      <xdr:row>37</xdr:row>
      <xdr:rowOff>54429</xdr:rowOff>
    </xdr:from>
    <xdr:to>
      <xdr:col>16</xdr:col>
      <xdr:colOff>205841</xdr:colOff>
      <xdr:row>37</xdr:row>
      <xdr:rowOff>361949</xdr:rowOff>
    </xdr:to>
    <xdr:grpSp>
      <xdr:nvGrpSpPr>
        <xdr:cNvPr id="5" name="Group 4">
          <a:extLst>
            <a:ext uri="{FF2B5EF4-FFF2-40B4-BE49-F238E27FC236}">
              <a16:creationId xmlns:a16="http://schemas.microsoft.com/office/drawing/2014/main" id="{A9C8BD22-A1BB-4383-A6CB-BF5C3A99137B}"/>
            </a:ext>
          </a:extLst>
        </xdr:cNvPr>
        <xdr:cNvGrpSpPr/>
      </xdr:nvGrpSpPr>
      <xdr:grpSpPr>
        <a:xfrm>
          <a:off x="10600418" y="8614229"/>
          <a:ext cx="2184773" cy="307520"/>
          <a:chOff x="10672082" y="8088086"/>
          <a:chExt cx="2210173" cy="307520"/>
        </a:xfrm>
      </xdr:grpSpPr>
      <xdr:pic>
        <xdr:nvPicPr>
          <xdr:cNvPr id="3" name="Picture 2">
            <a:extLst>
              <a:ext uri="{FF2B5EF4-FFF2-40B4-BE49-F238E27FC236}">
                <a16:creationId xmlns:a16="http://schemas.microsoft.com/office/drawing/2014/main" id="{AA3EC988-1A06-49E1-9AB2-02599B1CD5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45017" y="8105775"/>
            <a:ext cx="1037238" cy="2743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Box 3">
            <a:extLst>
              <a:ext uri="{FF2B5EF4-FFF2-40B4-BE49-F238E27FC236}">
                <a16:creationId xmlns:a16="http://schemas.microsoft.com/office/drawing/2014/main" id="{1E50ECF3-4F71-49DF-9E6C-D09878260642}"/>
              </a:ext>
            </a:extLst>
          </xdr:cNvPr>
          <xdr:cNvSpPr txBox="1"/>
        </xdr:nvSpPr>
        <xdr:spPr>
          <a:xfrm>
            <a:off x="10672082" y="8088086"/>
            <a:ext cx="1085851" cy="307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CA" sz="900">
                <a:solidFill>
                  <a:schemeClr val="bg1">
                    <a:lumMod val="65000"/>
                  </a:schemeClr>
                </a:solidFill>
              </a:rPr>
              <a:t>Analysis tool developed by:</a:t>
            </a:r>
          </a:p>
        </xdr:txBody>
      </xdr:sp>
    </xdr:grpSp>
    <xdr:clientData/>
  </xdr:twoCellAnchor>
  <xdr:twoCellAnchor editAs="oneCell">
    <xdr:from>
      <xdr:col>1</xdr:col>
      <xdr:colOff>95250</xdr:colOff>
      <xdr:row>33</xdr:row>
      <xdr:rowOff>170222</xdr:rowOff>
    </xdr:from>
    <xdr:to>
      <xdr:col>7</xdr:col>
      <xdr:colOff>409575</xdr:colOff>
      <xdr:row>37</xdr:row>
      <xdr:rowOff>297730</xdr:rowOff>
    </xdr:to>
    <xdr:pic>
      <xdr:nvPicPr>
        <xdr:cNvPr id="7" name="Picture 6">
          <a:extLst>
            <a:ext uri="{FF2B5EF4-FFF2-40B4-BE49-F238E27FC236}">
              <a16:creationId xmlns:a16="http://schemas.microsoft.com/office/drawing/2014/main" id="{CA6E6135-DCD7-4022-9303-EE367E2475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8104547"/>
          <a:ext cx="4667250" cy="889508"/>
        </a:xfrm>
        <a:prstGeom prst="rect">
          <a:avLst/>
        </a:prstGeom>
      </xdr:spPr>
    </xdr:pic>
    <xdr:clientData/>
  </xdr:twoCellAnchor>
  <xdr:twoCellAnchor editAs="oneCell">
    <xdr:from>
      <xdr:col>1</xdr:col>
      <xdr:colOff>57151</xdr:colOff>
      <xdr:row>1</xdr:row>
      <xdr:rowOff>57151</xdr:rowOff>
    </xdr:from>
    <xdr:to>
      <xdr:col>3</xdr:col>
      <xdr:colOff>371476</xdr:colOff>
      <xdr:row>8</xdr:row>
      <xdr:rowOff>142876</xdr:rowOff>
    </xdr:to>
    <xdr:pic>
      <xdr:nvPicPr>
        <xdr:cNvPr id="8" name="Picture 7">
          <a:extLst>
            <a:ext uri="{FF2B5EF4-FFF2-40B4-BE49-F238E27FC236}">
              <a16:creationId xmlns:a16="http://schemas.microsoft.com/office/drawing/2014/main" id="{4B401411-26A5-46BC-A66A-EE91072AE5C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6701" y="247651"/>
          <a:ext cx="1352550" cy="1352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538843</xdr:colOff>
      <xdr:row>41</xdr:row>
      <xdr:rowOff>48985</xdr:rowOff>
    </xdr:from>
    <xdr:to>
      <xdr:col>14</xdr:col>
      <xdr:colOff>185430</xdr:colOff>
      <xdr:row>41</xdr:row>
      <xdr:rowOff>356505</xdr:rowOff>
    </xdr:to>
    <xdr:grpSp>
      <xdr:nvGrpSpPr>
        <xdr:cNvPr id="9" name="Group 8">
          <a:extLst>
            <a:ext uri="{FF2B5EF4-FFF2-40B4-BE49-F238E27FC236}">
              <a16:creationId xmlns:a16="http://schemas.microsoft.com/office/drawing/2014/main" id="{BA68E283-B250-498E-A97E-2C6C59569FED}"/>
            </a:ext>
          </a:extLst>
        </xdr:cNvPr>
        <xdr:cNvGrpSpPr/>
      </xdr:nvGrpSpPr>
      <xdr:grpSpPr>
        <a:xfrm>
          <a:off x="10603593" y="7624535"/>
          <a:ext cx="2180237" cy="307520"/>
          <a:chOff x="10672082" y="8088086"/>
          <a:chExt cx="2210173" cy="307520"/>
        </a:xfrm>
      </xdr:grpSpPr>
      <xdr:pic>
        <xdr:nvPicPr>
          <xdr:cNvPr id="10" name="Picture 9">
            <a:extLst>
              <a:ext uri="{FF2B5EF4-FFF2-40B4-BE49-F238E27FC236}">
                <a16:creationId xmlns:a16="http://schemas.microsoft.com/office/drawing/2014/main" id="{6FA2FDCC-A43B-4C98-8E4B-DBFA5F59FD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45017" y="8105775"/>
            <a:ext cx="1037238" cy="2743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a:extLst>
              <a:ext uri="{FF2B5EF4-FFF2-40B4-BE49-F238E27FC236}">
                <a16:creationId xmlns:a16="http://schemas.microsoft.com/office/drawing/2014/main" id="{C989138F-F870-495C-B4DF-6B7692787C8B}"/>
              </a:ext>
            </a:extLst>
          </xdr:cNvPr>
          <xdr:cNvSpPr txBox="1"/>
        </xdr:nvSpPr>
        <xdr:spPr>
          <a:xfrm>
            <a:off x="10672082" y="8088086"/>
            <a:ext cx="1085851" cy="307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CA" sz="900">
                <a:solidFill>
                  <a:schemeClr val="bg1">
                    <a:lumMod val="65000"/>
                  </a:schemeClr>
                </a:solidFill>
              </a:rPr>
              <a:t>Analysis tool developed by:</a:t>
            </a:r>
          </a:p>
        </xdr:txBody>
      </xdr:sp>
    </xdr:grpSp>
    <xdr:clientData/>
  </xdr:twoCellAnchor>
  <xdr:twoCellAnchor editAs="oneCell">
    <xdr:from>
      <xdr:col>1</xdr:col>
      <xdr:colOff>47625</xdr:colOff>
      <xdr:row>1</xdr:row>
      <xdr:rowOff>47625</xdr:rowOff>
    </xdr:from>
    <xdr:to>
      <xdr:col>2</xdr:col>
      <xdr:colOff>1190625</xdr:colOff>
      <xdr:row>8</xdr:row>
      <xdr:rowOff>133350</xdr:rowOff>
    </xdr:to>
    <xdr:pic>
      <xdr:nvPicPr>
        <xdr:cNvPr id="6" name="Picture 5">
          <a:extLst>
            <a:ext uri="{FF2B5EF4-FFF2-40B4-BE49-F238E27FC236}">
              <a16:creationId xmlns:a16="http://schemas.microsoft.com/office/drawing/2014/main" id="{8573F547-A7D0-492F-BBA5-128453F91B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175" y="238125"/>
          <a:ext cx="1352550"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511628</xdr:colOff>
      <xdr:row>108</xdr:row>
      <xdr:rowOff>59871</xdr:rowOff>
    </xdr:from>
    <xdr:to>
      <xdr:col>16</xdr:col>
      <xdr:colOff>196315</xdr:colOff>
      <xdr:row>108</xdr:row>
      <xdr:rowOff>367391</xdr:rowOff>
    </xdr:to>
    <xdr:grpSp>
      <xdr:nvGrpSpPr>
        <xdr:cNvPr id="5" name="Group 4">
          <a:extLst>
            <a:ext uri="{FF2B5EF4-FFF2-40B4-BE49-F238E27FC236}">
              <a16:creationId xmlns:a16="http://schemas.microsoft.com/office/drawing/2014/main" id="{28935234-C43B-4A1C-B0CE-5A2B907642CB}"/>
            </a:ext>
          </a:extLst>
        </xdr:cNvPr>
        <xdr:cNvGrpSpPr/>
      </xdr:nvGrpSpPr>
      <xdr:grpSpPr>
        <a:xfrm>
          <a:off x="10614478" y="20722771"/>
          <a:ext cx="2173887" cy="307520"/>
          <a:chOff x="10672082" y="8088086"/>
          <a:chExt cx="2210173" cy="307520"/>
        </a:xfrm>
      </xdr:grpSpPr>
      <xdr:pic>
        <xdr:nvPicPr>
          <xdr:cNvPr id="6" name="Picture 5">
            <a:extLst>
              <a:ext uri="{FF2B5EF4-FFF2-40B4-BE49-F238E27FC236}">
                <a16:creationId xmlns:a16="http://schemas.microsoft.com/office/drawing/2014/main" id="{D78C77B3-7687-487A-A34E-16CE2F4C7E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45017" y="8105775"/>
            <a:ext cx="1037238" cy="2743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TextBox 6">
            <a:extLst>
              <a:ext uri="{FF2B5EF4-FFF2-40B4-BE49-F238E27FC236}">
                <a16:creationId xmlns:a16="http://schemas.microsoft.com/office/drawing/2014/main" id="{7CD24EBC-B3DE-4250-9576-9EBBA8C3725F}"/>
              </a:ext>
            </a:extLst>
          </xdr:cNvPr>
          <xdr:cNvSpPr txBox="1"/>
        </xdr:nvSpPr>
        <xdr:spPr>
          <a:xfrm>
            <a:off x="10672082" y="8088086"/>
            <a:ext cx="1085851" cy="307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CA" sz="900">
                <a:solidFill>
                  <a:schemeClr val="bg1">
                    <a:lumMod val="65000"/>
                  </a:schemeClr>
                </a:solidFill>
              </a:rPr>
              <a:t>Analysis tool developed by:</a:t>
            </a:r>
          </a:p>
        </xdr:txBody>
      </xdr:sp>
    </xdr:grpSp>
    <xdr:clientData/>
  </xdr:twoCellAnchor>
  <xdr:twoCellAnchor editAs="oneCell">
    <xdr:from>
      <xdr:col>1</xdr:col>
      <xdr:colOff>47625</xdr:colOff>
      <xdr:row>1</xdr:row>
      <xdr:rowOff>47625</xdr:rowOff>
    </xdr:from>
    <xdr:to>
      <xdr:col>3</xdr:col>
      <xdr:colOff>495300</xdr:colOff>
      <xdr:row>8</xdr:row>
      <xdr:rowOff>133350</xdr:rowOff>
    </xdr:to>
    <xdr:pic>
      <xdr:nvPicPr>
        <xdr:cNvPr id="8" name="Picture 7">
          <a:extLst>
            <a:ext uri="{FF2B5EF4-FFF2-40B4-BE49-F238E27FC236}">
              <a16:creationId xmlns:a16="http://schemas.microsoft.com/office/drawing/2014/main" id="{8F705498-ED33-487B-A289-1D14768DED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175" y="238125"/>
          <a:ext cx="1352550" cy="1352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1142999</xdr:colOff>
      <xdr:row>79</xdr:row>
      <xdr:rowOff>59871</xdr:rowOff>
    </xdr:from>
    <xdr:to>
      <xdr:col>14</xdr:col>
      <xdr:colOff>11258</xdr:colOff>
      <xdr:row>79</xdr:row>
      <xdr:rowOff>367391</xdr:rowOff>
    </xdr:to>
    <xdr:grpSp>
      <xdr:nvGrpSpPr>
        <xdr:cNvPr id="5" name="Group 4">
          <a:extLst>
            <a:ext uri="{FF2B5EF4-FFF2-40B4-BE49-F238E27FC236}">
              <a16:creationId xmlns:a16="http://schemas.microsoft.com/office/drawing/2014/main" id="{7EA94723-E9C9-41A8-9486-DFEBF9925020}"/>
            </a:ext>
          </a:extLst>
        </xdr:cNvPr>
        <xdr:cNvGrpSpPr/>
      </xdr:nvGrpSpPr>
      <xdr:grpSpPr>
        <a:xfrm>
          <a:off x="10610849" y="10035721"/>
          <a:ext cx="2170259" cy="307520"/>
          <a:chOff x="10672082" y="8088086"/>
          <a:chExt cx="2210173" cy="307520"/>
        </a:xfrm>
      </xdr:grpSpPr>
      <xdr:pic>
        <xdr:nvPicPr>
          <xdr:cNvPr id="7" name="Picture 6">
            <a:extLst>
              <a:ext uri="{FF2B5EF4-FFF2-40B4-BE49-F238E27FC236}">
                <a16:creationId xmlns:a16="http://schemas.microsoft.com/office/drawing/2014/main" id="{EC15760E-C9CB-45F4-A1A6-B40069A14E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45017" y="8105775"/>
            <a:ext cx="1037238" cy="2743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a:extLst>
              <a:ext uri="{FF2B5EF4-FFF2-40B4-BE49-F238E27FC236}">
                <a16:creationId xmlns:a16="http://schemas.microsoft.com/office/drawing/2014/main" id="{003FFE70-5E7D-442A-ADAF-3BD2D6E066F4}"/>
              </a:ext>
            </a:extLst>
          </xdr:cNvPr>
          <xdr:cNvSpPr txBox="1"/>
        </xdr:nvSpPr>
        <xdr:spPr>
          <a:xfrm>
            <a:off x="10672082" y="8088086"/>
            <a:ext cx="1085851" cy="307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CA" sz="900">
                <a:solidFill>
                  <a:schemeClr val="bg1">
                    <a:lumMod val="65000"/>
                  </a:schemeClr>
                </a:solidFill>
              </a:rPr>
              <a:t>Analysis tool developed by:</a:t>
            </a:r>
          </a:p>
        </xdr:txBody>
      </xdr:sp>
    </xdr:grpSp>
    <xdr:clientData/>
  </xdr:twoCellAnchor>
  <xdr:twoCellAnchor editAs="oneCell">
    <xdr:from>
      <xdr:col>1</xdr:col>
      <xdr:colOff>38100</xdr:colOff>
      <xdr:row>1</xdr:row>
      <xdr:rowOff>47625</xdr:rowOff>
    </xdr:from>
    <xdr:to>
      <xdr:col>2</xdr:col>
      <xdr:colOff>1295400</xdr:colOff>
      <xdr:row>8</xdr:row>
      <xdr:rowOff>76200</xdr:rowOff>
    </xdr:to>
    <xdr:pic>
      <xdr:nvPicPr>
        <xdr:cNvPr id="9" name="Picture 8">
          <a:extLst>
            <a:ext uri="{FF2B5EF4-FFF2-40B4-BE49-F238E27FC236}">
              <a16:creationId xmlns:a16="http://schemas.microsoft.com/office/drawing/2014/main" id="{753A0387-A6AC-4EAA-B7F5-6CD4AE4C07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238125"/>
          <a:ext cx="1352550" cy="1352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46</xdr:col>
      <xdr:colOff>119433</xdr:colOff>
      <xdr:row>170</xdr:row>
      <xdr:rowOff>153914</xdr:rowOff>
    </xdr:to>
    <xdr:pic>
      <xdr:nvPicPr>
        <xdr:cNvPr id="2" name="Picture 1">
          <a:extLst>
            <a:ext uri="{FF2B5EF4-FFF2-40B4-BE49-F238E27FC236}">
              <a16:creationId xmlns:a16="http://schemas.microsoft.com/office/drawing/2014/main" id="{DA9C15CC-2FC3-4314-852A-BA66108BA972}"/>
            </a:ext>
          </a:extLst>
        </xdr:cNvPr>
        <xdr:cNvPicPr>
          <a:picLocks noChangeAspect="1"/>
        </xdr:cNvPicPr>
      </xdr:nvPicPr>
      <xdr:blipFill>
        <a:blip xmlns:r="http://schemas.openxmlformats.org/officeDocument/2006/relationships" r:embed="rId1"/>
        <a:stretch>
          <a:fillRect/>
        </a:stretch>
      </xdr:blipFill>
      <xdr:spPr>
        <a:xfrm>
          <a:off x="5878286" y="185057"/>
          <a:ext cx="24285714" cy="31428571"/>
        </a:xfrm>
        <a:prstGeom prst="rect">
          <a:avLst/>
        </a:prstGeom>
      </xdr:spPr>
    </xdr:pic>
    <xdr:clientData/>
  </xdr:twoCellAnchor>
  <xdr:twoCellAnchor>
    <xdr:from>
      <xdr:col>13</xdr:col>
      <xdr:colOff>647699</xdr:colOff>
      <xdr:row>18</xdr:row>
      <xdr:rowOff>114301</xdr:rowOff>
    </xdr:from>
    <xdr:to>
      <xdr:col>16</xdr:col>
      <xdr:colOff>570858</xdr:colOff>
      <xdr:row>27</xdr:row>
      <xdr:rowOff>8646</xdr:rowOff>
    </xdr:to>
    <xdr:sp macro="" textlink="">
      <xdr:nvSpPr>
        <xdr:cNvPr id="3" name="Rectangle 2">
          <a:extLst>
            <a:ext uri="{FF2B5EF4-FFF2-40B4-BE49-F238E27FC236}">
              <a16:creationId xmlns:a16="http://schemas.microsoft.com/office/drawing/2014/main" id="{B3DAFB4C-7314-444E-AA82-86FDA1C62E56}"/>
            </a:ext>
          </a:extLst>
        </xdr:cNvPr>
        <xdr:cNvSpPr/>
      </xdr:nvSpPr>
      <xdr:spPr>
        <a:xfrm>
          <a:off x="9138556" y="3445330"/>
          <a:ext cx="1882588" cy="1559859"/>
        </a:xfrm>
        <a:prstGeom prst="rect">
          <a:avLst/>
        </a:prstGeom>
        <a:solidFill>
          <a:srgbClr val="8CC7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140,199,196</a:t>
          </a:r>
        </a:p>
        <a:p>
          <a:pPr algn="ctr"/>
          <a:r>
            <a:rPr lang="en-US"/>
            <a:t>background</a:t>
          </a:r>
        </a:p>
      </xdr:txBody>
    </xdr:sp>
    <xdr:clientData/>
  </xdr:twoCellAnchor>
  <xdr:twoCellAnchor>
    <xdr:from>
      <xdr:col>13</xdr:col>
      <xdr:colOff>647699</xdr:colOff>
      <xdr:row>27</xdr:row>
      <xdr:rowOff>107947</xdr:rowOff>
    </xdr:from>
    <xdr:to>
      <xdr:col>16</xdr:col>
      <xdr:colOff>570858</xdr:colOff>
      <xdr:row>36</xdr:row>
      <xdr:rowOff>2292</xdr:rowOff>
    </xdr:to>
    <xdr:sp macro="" textlink="">
      <xdr:nvSpPr>
        <xdr:cNvPr id="4" name="Rectangle 3">
          <a:extLst>
            <a:ext uri="{FF2B5EF4-FFF2-40B4-BE49-F238E27FC236}">
              <a16:creationId xmlns:a16="http://schemas.microsoft.com/office/drawing/2014/main" id="{718652EC-1B29-46A9-8669-D35D478657ED}"/>
            </a:ext>
          </a:extLst>
        </xdr:cNvPr>
        <xdr:cNvSpPr/>
      </xdr:nvSpPr>
      <xdr:spPr>
        <a:xfrm>
          <a:off x="9138556" y="5104490"/>
          <a:ext cx="1882588" cy="1559859"/>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lumMod val="65000"/>
                  <a:lumOff val="35000"/>
                </a:schemeClr>
              </a:solidFill>
            </a:rPr>
            <a:t>255,255,255</a:t>
          </a:r>
        </a:p>
        <a:p>
          <a:pPr algn="ctr"/>
          <a:r>
            <a:rPr lang="en-US">
              <a:solidFill>
                <a:schemeClr val="tx1">
                  <a:lumMod val="65000"/>
                  <a:lumOff val="35000"/>
                </a:schemeClr>
              </a:solidFill>
            </a:rPr>
            <a:t>text</a:t>
          </a:r>
        </a:p>
      </xdr:txBody>
    </xdr:sp>
    <xdr:clientData/>
  </xdr:twoCellAnchor>
  <xdr:twoCellAnchor>
    <xdr:from>
      <xdr:col>20</xdr:col>
      <xdr:colOff>113955</xdr:colOff>
      <xdr:row>27</xdr:row>
      <xdr:rowOff>107947</xdr:rowOff>
    </xdr:from>
    <xdr:to>
      <xdr:col>23</xdr:col>
      <xdr:colOff>37114</xdr:colOff>
      <xdr:row>36</xdr:row>
      <xdr:rowOff>2292</xdr:rowOff>
    </xdr:to>
    <xdr:sp macro="" textlink="">
      <xdr:nvSpPr>
        <xdr:cNvPr id="5" name="Rectangle 4">
          <a:extLst>
            <a:ext uri="{FF2B5EF4-FFF2-40B4-BE49-F238E27FC236}">
              <a16:creationId xmlns:a16="http://schemas.microsoft.com/office/drawing/2014/main" id="{62B0385F-AFBB-4DE0-B1C7-0C6ED89CAC94}"/>
            </a:ext>
          </a:extLst>
        </xdr:cNvPr>
        <xdr:cNvSpPr/>
      </xdr:nvSpPr>
      <xdr:spPr>
        <a:xfrm>
          <a:off x="13176812" y="5104490"/>
          <a:ext cx="1882588" cy="1559859"/>
        </a:xfrm>
        <a:prstGeom prst="rect">
          <a:avLst/>
        </a:prstGeom>
        <a:solidFill>
          <a:srgbClr val="F1DE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241,222,177</a:t>
          </a:r>
        </a:p>
        <a:p>
          <a:pPr algn="ctr"/>
          <a:r>
            <a:rPr lang="en-US"/>
            <a:t>minor</a:t>
          </a:r>
        </a:p>
      </xdr:txBody>
    </xdr:sp>
    <xdr:clientData/>
  </xdr:twoCellAnchor>
  <xdr:twoCellAnchor>
    <xdr:from>
      <xdr:col>13</xdr:col>
      <xdr:colOff>647699</xdr:colOff>
      <xdr:row>36</xdr:row>
      <xdr:rowOff>101593</xdr:rowOff>
    </xdr:from>
    <xdr:to>
      <xdr:col>16</xdr:col>
      <xdr:colOff>570858</xdr:colOff>
      <xdr:row>44</xdr:row>
      <xdr:rowOff>180995</xdr:rowOff>
    </xdr:to>
    <xdr:sp macro="" textlink="">
      <xdr:nvSpPr>
        <xdr:cNvPr id="6" name="Rectangle 5">
          <a:extLst>
            <a:ext uri="{FF2B5EF4-FFF2-40B4-BE49-F238E27FC236}">
              <a16:creationId xmlns:a16="http://schemas.microsoft.com/office/drawing/2014/main" id="{B68546F9-FAEA-48C1-B096-4332BC2D70AC}"/>
            </a:ext>
          </a:extLst>
        </xdr:cNvPr>
        <xdr:cNvSpPr/>
      </xdr:nvSpPr>
      <xdr:spPr>
        <a:xfrm>
          <a:off x="9138556" y="6763650"/>
          <a:ext cx="1882588" cy="1559859"/>
        </a:xfrm>
        <a:prstGeom prst="rect">
          <a:avLst/>
        </a:prstGeom>
        <a:solidFill>
          <a:srgbClr val="3CA2A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60,162,171</a:t>
          </a:r>
        </a:p>
        <a:p>
          <a:pPr algn="ctr"/>
          <a:r>
            <a:rPr lang="en-US"/>
            <a:t>minor</a:t>
          </a:r>
        </a:p>
      </xdr:txBody>
    </xdr:sp>
    <xdr:clientData/>
  </xdr:twoCellAnchor>
  <xdr:twoCellAnchor>
    <xdr:from>
      <xdr:col>20</xdr:col>
      <xdr:colOff>113955</xdr:colOff>
      <xdr:row>18</xdr:row>
      <xdr:rowOff>114301</xdr:rowOff>
    </xdr:from>
    <xdr:to>
      <xdr:col>23</xdr:col>
      <xdr:colOff>37114</xdr:colOff>
      <xdr:row>27</xdr:row>
      <xdr:rowOff>8646</xdr:rowOff>
    </xdr:to>
    <xdr:sp macro="" textlink="">
      <xdr:nvSpPr>
        <xdr:cNvPr id="7" name="Rectangle 6">
          <a:extLst>
            <a:ext uri="{FF2B5EF4-FFF2-40B4-BE49-F238E27FC236}">
              <a16:creationId xmlns:a16="http://schemas.microsoft.com/office/drawing/2014/main" id="{338A9E1D-11BC-4685-9744-7903553AFC97}"/>
            </a:ext>
          </a:extLst>
        </xdr:cNvPr>
        <xdr:cNvSpPr/>
      </xdr:nvSpPr>
      <xdr:spPr>
        <a:xfrm>
          <a:off x="13176812" y="3445330"/>
          <a:ext cx="1882588" cy="1559859"/>
        </a:xfrm>
        <a:prstGeom prst="rect">
          <a:avLst/>
        </a:prstGeom>
        <a:solidFill>
          <a:srgbClr val="00837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0,131,123</a:t>
          </a:r>
        </a:p>
        <a:p>
          <a:pPr algn="ctr"/>
          <a:r>
            <a:rPr lang="en-US"/>
            <a:t>Text</a:t>
          </a:r>
        </a:p>
      </xdr:txBody>
    </xdr:sp>
    <xdr:clientData/>
  </xdr:twoCellAnchor>
  <xdr:twoCellAnchor>
    <xdr:from>
      <xdr:col>17</xdr:col>
      <xdr:colOff>70805</xdr:colOff>
      <xdr:row>27</xdr:row>
      <xdr:rowOff>107947</xdr:rowOff>
    </xdr:from>
    <xdr:to>
      <xdr:col>19</xdr:col>
      <xdr:colOff>647108</xdr:colOff>
      <xdr:row>36</xdr:row>
      <xdr:rowOff>2292</xdr:rowOff>
    </xdr:to>
    <xdr:sp macro="" textlink="">
      <xdr:nvSpPr>
        <xdr:cNvPr id="8" name="Rectangle 7">
          <a:extLst>
            <a:ext uri="{FF2B5EF4-FFF2-40B4-BE49-F238E27FC236}">
              <a16:creationId xmlns:a16="http://schemas.microsoft.com/office/drawing/2014/main" id="{AC173891-063C-464F-A8CC-8C7F275BE88A}"/>
            </a:ext>
          </a:extLst>
        </xdr:cNvPr>
        <xdr:cNvSpPr/>
      </xdr:nvSpPr>
      <xdr:spPr>
        <a:xfrm>
          <a:off x="11174234" y="5104490"/>
          <a:ext cx="1882588" cy="1559859"/>
        </a:xfrm>
        <a:prstGeom prst="rect">
          <a:avLst/>
        </a:prstGeom>
        <a:solidFill>
          <a:srgbClr val="D3D1D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211,209,208</a:t>
          </a:r>
        </a:p>
        <a:p>
          <a:pPr algn="ctr"/>
          <a:r>
            <a:rPr lang="en-US"/>
            <a:t>minor</a:t>
          </a:r>
        </a:p>
      </xdr:txBody>
    </xdr:sp>
    <xdr:clientData/>
  </xdr:twoCellAnchor>
  <xdr:twoCellAnchor>
    <xdr:from>
      <xdr:col>17</xdr:col>
      <xdr:colOff>70805</xdr:colOff>
      <xdr:row>36</xdr:row>
      <xdr:rowOff>101593</xdr:rowOff>
    </xdr:from>
    <xdr:to>
      <xdr:col>19</xdr:col>
      <xdr:colOff>647108</xdr:colOff>
      <xdr:row>44</xdr:row>
      <xdr:rowOff>180995</xdr:rowOff>
    </xdr:to>
    <xdr:sp macro="" textlink="">
      <xdr:nvSpPr>
        <xdr:cNvPr id="9" name="Rectangle 8">
          <a:extLst>
            <a:ext uri="{FF2B5EF4-FFF2-40B4-BE49-F238E27FC236}">
              <a16:creationId xmlns:a16="http://schemas.microsoft.com/office/drawing/2014/main" id="{E63D35CC-C061-476A-888B-1CAFED60B8B6}"/>
            </a:ext>
          </a:extLst>
        </xdr:cNvPr>
        <xdr:cNvSpPr/>
      </xdr:nvSpPr>
      <xdr:spPr>
        <a:xfrm>
          <a:off x="11174234" y="6763650"/>
          <a:ext cx="1882588" cy="1559859"/>
        </a:xfrm>
        <a:prstGeom prst="rect">
          <a:avLst/>
        </a:prstGeom>
        <a:solidFill>
          <a:srgbClr val="006A7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0,106,126</a:t>
          </a:r>
        </a:p>
        <a:p>
          <a:pPr algn="ctr"/>
          <a:r>
            <a:rPr lang="en-US"/>
            <a:t>minor</a:t>
          </a:r>
        </a:p>
      </xdr:txBody>
    </xdr:sp>
    <xdr:clientData/>
  </xdr:twoCellAnchor>
  <xdr:twoCellAnchor>
    <xdr:from>
      <xdr:col>17</xdr:col>
      <xdr:colOff>70805</xdr:colOff>
      <xdr:row>18</xdr:row>
      <xdr:rowOff>114300</xdr:rowOff>
    </xdr:from>
    <xdr:to>
      <xdr:col>19</xdr:col>
      <xdr:colOff>647108</xdr:colOff>
      <xdr:row>27</xdr:row>
      <xdr:rowOff>8645</xdr:rowOff>
    </xdr:to>
    <xdr:sp macro="" textlink="">
      <xdr:nvSpPr>
        <xdr:cNvPr id="10" name="Rectangle 9">
          <a:extLst>
            <a:ext uri="{FF2B5EF4-FFF2-40B4-BE49-F238E27FC236}">
              <a16:creationId xmlns:a16="http://schemas.microsoft.com/office/drawing/2014/main" id="{C263E180-1EEC-4AF3-9074-1EF6E4D691A2}"/>
            </a:ext>
          </a:extLst>
        </xdr:cNvPr>
        <xdr:cNvSpPr/>
      </xdr:nvSpPr>
      <xdr:spPr>
        <a:xfrm>
          <a:off x="11174234" y="3445329"/>
          <a:ext cx="1882588" cy="1559859"/>
        </a:xfrm>
        <a:prstGeom prst="rect">
          <a:avLst/>
        </a:prstGeom>
        <a:solidFill>
          <a:srgbClr val="9BCEC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155,206,203</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F2C7295-61A1-4AA0-899F-55389F4A23E8}" name="Table2" displayName="Table2" ref="B1:E107" totalsRowShown="0" headerRowDxfId="5" dataDxfId="4">
  <autoFilter ref="B1:E107" xr:uid="{FA8104D2-99F8-4F84-9622-D436EC2F5EA5}"/>
  <tableColumns count="4">
    <tableColumn id="1" xr3:uid="{59CD9681-06FE-4EDA-A848-62EF052F348D}" name="ID" dataDxfId="3"/>
    <tableColumn id="2" xr3:uid="{5212E805-F2E2-42F5-A1CF-FE109BE89667}" name="Units" dataDxfId="2"/>
    <tableColumn id="3" xr3:uid="{806675D0-B7BA-42B4-A999-72BA6E7176CA}" name="vlookup" dataDxfId="1">
      <calculatedColumnFormula>CONCATENATE(A2,C2)</calculatedColumnFormula>
    </tableColumn>
    <tableColumn id="4" xr3:uid="{C1BB35A8-A224-4B71-A925-4597577F13CC}" name="Multiplier to get to kBtu" dataDxfId="0"/>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ZCB Palette">
      <a:dk1>
        <a:srgbClr val="00837B"/>
      </a:dk1>
      <a:lt1>
        <a:srgbClr val="FFFFFF"/>
      </a:lt1>
      <a:dk2>
        <a:srgbClr val="006A7E"/>
      </a:dk2>
      <a:lt2>
        <a:srgbClr val="8CC7C4"/>
      </a:lt2>
      <a:accent1>
        <a:srgbClr val="8CC7C4"/>
      </a:accent1>
      <a:accent2>
        <a:srgbClr val="9BCECB"/>
      </a:accent2>
      <a:accent3>
        <a:srgbClr val="00837B"/>
      </a:accent3>
      <a:accent4>
        <a:srgbClr val="D3D1D0"/>
      </a:accent4>
      <a:accent5>
        <a:srgbClr val="F1DEB1"/>
      </a:accent5>
      <a:accent6>
        <a:srgbClr val="3CA2AB"/>
      </a:accent6>
      <a:hlink>
        <a:srgbClr val="006A7E"/>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77197-501B-44C1-86FB-4D3B51AC5BC7}">
  <dimension ref="B2:B3"/>
  <sheetViews>
    <sheetView workbookViewId="0">
      <selection activeCell="D16" sqref="D16"/>
    </sheetView>
  </sheetViews>
  <sheetFormatPr defaultRowHeight="14.5" x14ac:dyDescent="0.35"/>
  <sheetData>
    <row r="2" spans="2:2" x14ac:dyDescent="0.35">
      <c r="B2" t="s">
        <v>479</v>
      </c>
    </row>
    <row r="3" spans="2:2" x14ac:dyDescent="0.35">
      <c r="B3" t="s">
        <v>480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8811-0FC0-480E-AA38-044209A6FAEC}">
  <dimension ref="A1:R39"/>
  <sheetViews>
    <sheetView showGridLines="0" showRowColHeaders="0" tabSelected="1" zoomScaleNormal="100" workbookViewId="0"/>
  </sheetViews>
  <sheetFormatPr defaultRowHeight="14.5" x14ac:dyDescent="0.35"/>
  <cols>
    <col min="1" max="2" width="3.1796875" customWidth="1"/>
    <col min="3" max="15" width="12.453125" customWidth="1"/>
    <col min="16" max="16" width="11.81640625" customWidth="1"/>
    <col min="17" max="18" width="3.1796875" customWidth="1"/>
  </cols>
  <sheetData>
    <row r="1" spans="1:18" x14ac:dyDescent="0.35">
      <c r="A1" s="132"/>
      <c r="B1" s="132"/>
      <c r="C1" s="132"/>
      <c r="D1" s="132"/>
      <c r="E1" s="132"/>
      <c r="F1" s="132"/>
      <c r="G1" s="132"/>
      <c r="H1" s="132"/>
      <c r="I1" s="132"/>
      <c r="J1" s="132"/>
      <c r="K1" s="132"/>
      <c r="L1" s="132"/>
      <c r="M1" s="132"/>
      <c r="N1" s="132"/>
      <c r="O1" s="132"/>
      <c r="P1" s="132"/>
      <c r="Q1" s="132"/>
      <c r="R1" s="132"/>
    </row>
    <row r="2" spans="1:18" ht="14.65" customHeight="1" x14ac:dyDescent="0.35">
      <c r="A2" s="132"/>
      <c r="B2" s="27"/>
      <c r="C2" s="27"/>
      <c r="D2" s="151" t="s">
        <v>484</v>
      </c>
      <c r="E2" s="152"/>
      <c r="F2" s="152"/>
      <c r="G2" s="152"/>
      <c r="H2" s="152"/>
      <c r="I2" s="152"/>
      <c r="J2" s="152"/>
      <c r="K2" s="152"/>
      <c r="L2" s="152"/>
      <c r="M2" s="152"/>
      <c r="N2" s="152"/>
      <c r="O2" s="152"/>
      <c r="P2" s="152"/>
      <c r="Q2" s="152"/>
      <c r="R2" s="132"/>
    </row>
    <row r="3" spans="1:18" ht="14.65" customHeight="1" x14ac:dyDescent="0.35">
      <c r="A3" s="132"/>
      <c r="B3" s="27"/>
      <c r="C3" s="27"/>
      <c r="D3" s="152"/>
      <c r="E3" s="152"/>
      <c r="F3" s="152"/>
      <c r="G3" s="152"/>
      <c r="H3" s="152"/>
      <c r="I3" s="152"/>
      <c r="J3" s="152"/>
      <c r="K3" s="152"/>
      <c r="L3" s="152"/>
      <c r="M3" s="152"/>
      <c r="N3" s="152"/>
      <c r="O3" s="152"/>
      <c r="P3" s="152"/>
      <c r="Q3" s="152"/>
      <c r="R3" s="132"/>
    </row>
    <row r="4" spans="1:18" ht="14.65" customHeight="1" x14ac:dyDescent="0.35">
      <c r="A4" s="132"/>
      <c r="B4" s="27"/>
      <c r="C4" s="27"/>
      <c r="D4" s="152"/>
      <c r="E4" s="152"/>
      <c r="F4" s="152"/>
      <c r="G4" s="152"/>
      <c r="H4" s="152"/>
      <c r="I4" s="152"/>
      <c r="J4" s="152"/>
      <c r="K4" s="152"/>
      <c r="L4" s="152"/>
      <c r="M4" s="152"/>
      <c r="N4" s="152"/>
      <c r="O4" s="152"/>
      <c r="P4" s="152"/>
      <c r="Q4" s="152"/>
      <c r="R4" s="132"/>
    </row>
    <row r="5" spans="1:18" ht="14.65" customHeight="1" x14ac:dyDescent="0.35">
      <c r="A5" s="132"/>
      <c r="B5" s="27"/>
      <c r="C5" s="27"/>
      <c r="D5" s="152"/>
      <c r="E5" s="152"/>
      <c r="F5" s="152"/>
      <c r="G5" s="152"/>
      <c r="H5" s="152"/>
      <c r="I5" s="152"/>
      <c r="J5" s="152"/>
      <c r="K5" s="152"/>
      <c r="L5" s="152"/>
      <c r="M5" s="152"/>
      <c r="N5" s="152"/>
      <c r="O5" s="152"/>
      <c r="P5" s="152"/>
      <c r="Q5" s="152"/>
      <c r="R5" s="132"/>
    </row>
    <row r="6" spans="1:18" ht="14.65" customHeight="1" x14ac:dyDescent="0.35">
      <c r="A6" s="132"/>
      <c r="B6" s="27"/>
      <c r="C6" s="27"/>
      <c r="D6" s="152"/>
      <c r="E6" s="152"/>
      <c r="F6" s="152"/>
      <c r="G6" s="152"/>
      <c r="H6" s="152"/>
      <c r="I6" s="152"/>
      <c r="J6" s="152"/>
      <c r="K6" s="152"/>
      <c r="L6" s="152"/>
      <c r="M6" s="152"/>
      <c r="N6" s="152"/>
      <c r="O6" s="152"/>
      <c r="P6" s="152"/>
      <c r="Q6" s="152"/>
      <c r="R6" s="132"/>
    </row>
    <row r="7" spans="1:18" ht="14.65" customHeight="1" x14ac:dyDescent="0.35">
      <c r="A7" s="132"/>
      <c r="B7" s="27"/>
      <c r="C7" s="27"/>
      <c r="D7" s="152"/>
      <c r="E7" s="152"/>
      <c r="F7" s="152"/>
      <c r="G7" s="152"/>
      <c r="H7" s="152"/>
      <c r="I7" s="152"/>
      <c r="J7" s="152"/>
      <c r="K7" s="152"/>
      <c r="L7" s="152"/>
      <c r="M7" s="152"/>
      <c r="N7" s="152"/>
      <c r="O7" s="152"/>
      <c r="P7" s="152"/>
      <c r="Q7" s="152"/>
      <c r="R7" s="132"/>
    </row>
    <row r="8" spans="1:18" ht="14.65" customHeight="1" x14ac:dyDescent="0.35">
      <c r="A8" s="132"/>
      <c r="B8" s="27"/>
      <c r="C8" s="27"/>
      <c r="D8" s="152"/>
      <c r="E8" s="152"/>
      <c r="F8" s="152"/>
      <c r="G8" s="152"/>
      <c r="H8" s="152"/>
      <c r="I8" s="152"/>
      <c r="J8" s="152"/>
      <c r="K8" s="152"/>
      <c r="L8" s="152"/>
      <c r="M8" s="152"/>
      <c r="N8" s="152"/>
      <c r="O8" s="152"/>
      <c r="P8" s="152"/>
      <c r="Q8" s="152"/>
      <c r="R8" s="132"/>
    </row>
    <row r="9" spans="1:18" x14ac:dyDescent="0.35">
      <c r="A9" s="132"/>
      <c r="B9" s="27"/>
      <c r="C9" s="27"/>
      <c r="D9" s="27"/>
      <c r="E9" s="27"/>
      <c r="F9" s="27"/>
      <c r="G9" s="27"/>
      <c r="H9" s="27"/>
      <c r="I9" s="27"/>
      <c r="J9" s="27"/>
      <c r="K9" s="27"/>
      <c r="L9" s="27"/>
      <c r="M9" s="27"/>
      <c r="N9" s="27"/>
      <c r="O9" s="27"/>
      <c r="P9" s="27"/>
      <c r="Q9" s="27"/>
      <c r="R9" s="132"/>
    </row>
    <row r="10" spans="1:18" x14ac:dyDescent="0.35">
      <c r="A10" s="132"/>
      <c r="B10" s="27"/>
      <c r="C10" s="28" t="s">
        <v>393</v>
      </c>
      <c r="D10" s="27"/>
      <c r="E10" s="27"/>
      <c r="F10" s="27"/>
      <c r="G10" s="27"/>
      <c r="H10" s="27"/>
      <c r="I10" s="27"/>
      <c r="J10" s="27"/>
      <c r="K10" s="27"/>
      <c r="L10" s="27"/>
      <c r="M10" s="27"/>
      <c r="N10" s="27"/>
      <c r="O10" s="27"/>
      <c r="P10" s="27"/>
      <c r="Q10" s="27"/>
      <c r="R10" s="132"/>
    </row>
    <row r="11" spans="1:18" x14ac:dyDescent="0.35">
      <c r="A11" s="132"/>
      <c r="B11" s="27"/>
      <c r="C11" s="27"/>
      <c r="D11" s="27"/>
      <c r="E11" s="27"/>
      <c r="F11" s="27"/>
      <c r="G11" s="27"/>
      <c r="H11" s="27"/>
      <c r="I11" s="27"/>
      <c r="J11" s="27"/>
      <c r="K11" s="27"/>
      <c r="L11" s="27"/>
      <c r="M11" s="27"/>
      <c r="N11" s="27"/>
      <c r="O11" s="27"/>
      <c r="P11" s="27"/>
      <c r="Q11" s="27"/>
      <c r="R11" s="132"/>
    </row>
    <row r="12" spans="1:18" ht="90" customHeight="1" x14ac:dyDescent="0.35">
      <c r="A12" s="132"/>
      <c r="B12" s="27"/>
      <c r="C12" s="153" t="s">
        <v>483</v>
      </c>
      <c r="D12" s="153"/>
      <c r="E12" s="153"/>
      <c r="F12" s="153"/>
      <c r="G12" s="153"/>
      <c r="H12" s="153"/>
      <c r="I12" s="153"/>
      <c r="J12" s="153"/>
      <c r="K12" s="153"/>
      <c r="L12" s="153"/>
      <c r="M12" s="153"/>
      <c r="N12" s="153"/>
      <c r="O12" s="153"/>
      <c r="P12" s="153"/>
      <c r="Q12" s="27"/>
      <c r="R12" s="132"/>
    </row>
    <row r="13" spans="1:18" x14ac:dyDescent="0.35">
      <c r="A13" s="132"/>
      <c r="B13" s="27"/>
      <c r="C13" s="71"/>
      <c r="D13" s="71"/>
      <c r="E13" s="71"/>
      <c r="F13" s="71"/>
      <c r="G13" s="71"/>
      <c r="H13" s="71"/>
      <c r="I13" s="71"/>
      <c r="J13" s="71"/>
      <c r="K13" s="71"/>
      <c r="L13" s="71"/>
      <c r="M13" s="71"/>
      <c r="N13" s="71"/>
      <c r="O13" s="71"/>
      <c r="P13" s="71"/>
      <c r="Q13" s="27"/>
      <c r="R13" s="132"/>
    </row>
    <row r="14" spans="1:18" ht="30.65" customHeight="1" x14ac:dyDescent="0.35">
      <c r="A14" s="132"/>
      <c r="B14" s="27"/>
      <c r="C14" s="153" t="s">
        <v>468</v>
      </c>
      <c r="D14" s="153"/>
      <c r="E14" s="153"/>
      <c r="F14" s="153"/>
      <c r="G14" s="153"/>
      <c r="H14" s="153"/>
      <c r="I14" s="153"/>
      <c r="J14" s="153"/>
      <c r="K14" s="153"/>
      <c r="L14" s="153"/>
      <c r="M14" s="153"/>
      <c r="N14" s="153"/>
      <c r="O14" s="153"/>
      <c r="P14" s="153"/>
      <c r="Q14" s="27"/>
      <c r="R14" s="132"/>
    </row>
    <row r="15" spans="1:18" x14ac:dyDescent="0.35">
      <c r="A15" s="132"/>
      <c r="B15" s="27"/>
      <c r="C15" s="29"/>
      <c r="D15" s="29"/>
      <c r="E15" s="29"/>
      <c r="F15" s="29"/>
      <c r="G15" s="29"/>
      <c r="H15" s="29"/>
      <c r="I15" s="29"/>
      <c r="J15" s="29"/>
      <c r="K15" s="29"/>
      <c r="L15" s="29"/>
      <c r="M15" s="29"/>
      <c r="N15" s="29"/>
      <c r="O15" s="29"/>
      <c r="P15" s="29"/>
      <c r="Q15" s="27"/>
      <c r="R15" s="132"/>
    </row>
    <row r="16" spans="1:18" x14ac:dyDescent="0.35">
      <c r="A16" s="132"/>
      <c r="B16" s="27"/>
      <c r="C16" s="29" t="s">
        <v>397</v>
      </c>
      <c r="D16" s="29"/>
      <c r="E16" s="29"/>
      <c r="F16" s="29"/>
      <c r="G16" s="29"/>
      <c r="H16" s="29"/>
      <c r="I16" s="29"/>
      <c r="J16" s="29"/>
      <c r="K16" s="29"/>
      <c r="L16" s="29"/>
      <c r="M16" s="29"/>
      <c r="N16" s="29"/>
      <c r="O16" s="29"/>
      <c r="P16" s="29"/>
      <c r="Q16" s="27"/>
      <c r="R16" s="132"/>
    </row>
    <row r="17" spans="1:18" x14ac:dyDescent="0.35">
      <c r="A17" s="132"/>
      <c r="B17" s="27"/>
      <c r="C17" s="112" t="s">
        <v>398</v>
      </c>
      <c r="D17" s="27"/>
      <c r="E17" s="27"/>
      <c r="F17" s="27"/>
      <c r="G17" s="27"/>
      <c r="H17" s="27"/>
      <c r="I17" s="27"/>
      <c r="J17" s="27"/>
      <c r="K17" s="27"/>
      <c r="L17" s="27"/>
      <c r="M17" s="27"/>
      <c r="N17" s="27"/>
      <c r="O17" s="27"/>
      <c r="P17" s="27"/>
      <c r="Q17" s="27"/>
      <c r="R17" s="132"/>
    </row>
    <row r="18" spans="1:18" x14ac:dyDescent="0.35">
      <c r="A18" s="132"/>
      <c r="B18" s="27"/>
      <c r="C18" s="112" t="s">
        <v>399</v>
      </c>
      <c r="D18" s="27"/>
      <c r="E18" s="27"/>
      <c r="F18" s="27"/>
      <c r="G18" s="27"/>
      <c r="H18" s="27"/>
      <c r="I18" s="27"/>
      <c r="J18" s="27"/>
      <c r="K18" s="27"/>
      <c r="L18" s="27"/>
      <c r="M18" s="27"/>
      <c r="N18" s="27"/>
      <c r="O18" s="27"/>
      <c r="P18" s="27"/>
      <c r="Q18" s="27"/>
      <c r="R18" s="132"/>
    </row>
    <row r="19" spans="1:18" x14ac:dyDescent="0.35">
      <c r="A19" s="132"/>
      <c r="B19" s="27"/>
      <c r="C19" s="112" t="s">
        <v>400</v>
      </c>
      <c r="D19" s="27"/>
      <c r="E19" s="27"/>
      <c r="F19" s="27"/>
      <c r="G19" s="27"/>
      <c r="H19" s="27"/>
      <c r="I19" s="27"/>
      <c r="J19" s="27"/>
      <c r="K19" s="27"/>
      <c r="L19" s="27"/>
      <c r="M19" s="27"/>
      <c r="N19" s="27"/>
      <c r="O19" s="27"/>
      <c r="P19" s="27"/>
      <c r="Q19" s="27"/>
      <c r="R19" s="132"/>
    </row>
    <row r="20" spans="1:18" x14ac:dyDescent="0.35">
      <c r="A20" s="132"/>
      <c r="B20" s="27"/>
      <c r="C20" s="27"/>
      <c r="D20" s="27"/>
      <c r="E20" s="27"/>
      <c r="F20" s="27"/>
      <c r="G20" s="27"/>
      <c r="H20" s="27"/>
      <c r="I20" s="27"/>
      <c r="J20" s="27"/>
      <c r="K20" s="27"/>
      <c r="L20" s="27"/>
      <c r="M20" s="27"/>
      <c r="N20" s="27"/>
      <c r="O20" s="27"/>
      <c r="P20" s="27"/>
      <c r="Q20" s="27"/>
      <c r="R20" s="132"/>
    </row>
    <row r="21" spans="1:18" x14ac:dyDescent="0.35">
      <c r="A21" s="132"/>
      <c r="B21" s="27"/>
      <c r="C21" s="28" t="s">
        <v>394</v>
      </c>
      <c r="D21" s="27"/>
      <c r="E21" s="27"/>
      <c r="F21" s="27"/>
      <c r="G21" s="27"/>
      <c r="H21" s="27"/>
      <c r="I21" s="27"/>
      <c r="J21" s="27"/>
      <c r="K21" s="27"/>
      <c r="L21" s="27"/>
      <c r="M21" s="27"/>
      <c r="N21" s="27"/>
      <c r="O21" s="27"/>
      <c r="P21" s="27"/>
      <c r="Q21" s="27"/>
      <c r="R21" s="132"/>
    </row>
    <row r="22" spans="1:18" x14ac:dyDescent="0.35">
      <c r="A22" s="132"/>
      <c r="B22" s="27"/>
      <c r="C22" s="27"/>
      <c r="D22" s="27"/>
      <c r="E22" s="27"/>
      <c r="F22" s="27"/>
      <c r="G22" s="27"/>
      <c r="H22" s="27"/>
      <c r="I22" s="27"/>
      <c r="J22" s="27"/>
      <c r="K22" s="27"/>
      <c r="L22" s="27"/>
      <c r="M22" s="27"/>
      <c r="N22" s="27"/>
      <c r="O22" s="27"/>
      <c r="P22" s="27"/>
      <c r="Q22" s="27"/>
      <c r="R22" s="132"/>
    </row>
    <row r="23" spans="1:18" ht="30" customHeight="1" x14ac:dyDescent="0.35">
      <c r="A23" s="132"/>
      <c r="B23" s="27"/>
      <c r="C23" s="154" t="s">
        <v>475</v>
      </c>
      <c r="D23" s="154"/>
      <c r="E23" s="154"/>
      <c r="F23" s="154"/>
      <c r="G23" s="154"/>
      <c r="H23" s="154"/>
      <c r="I23" s="154"/>
      <c r="J23" s="154"/>
      <c r="K23" s="154"/>
      <c r="L23" s="154"/>
      <c r="M23" s="154"/>
      <c r="N23" s="154"/>
      <c r="O23" s="154"/>
      <c r="P23" s="154"/>
      <c r="Q23" s="27"/>
      <c r="R23" s="132"/>
    </row>
    <row r="24" spans="1:18" x14ac:dyDescent="0.35">
      <c r="A24" s="132"/>
      <c r="B24" s="27"/>
      <c r="C24" s="27"/>
      <c r="D24" s="30"/>
      <c r="E24" s="27"/>
      <c r="F24" s="27"/>
      <c r="G24" s="27"/>
      <c r="H24" s="27"/>
      <c r="I24" s="27"/>
      <c r="J24" s="27"/>
      <c r="K24" s="27"/>
      <c r="L24" s="27"/>
      <c r="M24" s="27"/>
      <c r="N24" s="27"/>
      <c r="O24" s="27"/>
      <c r="P24" s="27"/>
      <c r="Q24" s="27"/>
      <c r="R24" s="132"/>
    </row>
    <row r="25" spans="1:18" x14ac:dyDescent="0.35">
      <c r="A25" s="132"/>
      <c r="B25" s="27"/>
      <c r="C25" s="28" t="s">
        <v>395</v>
      </c>
      <c r="D25" s="27"/>
      <c r="E25" s="27"/>
      <c r="F25" s="27"/>
      <c r="G25" s="27"/>
      <c r="H25" s="27"/>
      <c r="I25" s="27"/>
      <c r="J25" s="27"/>
      <c r="K25" s="27"/>
      <c r="L25" s="27"/>
      <c r="M25" s="27"/>
      <c r="N25" s="27"/>
      <c r="O25" s="27"/>
      <c r="P25" s="27"/>
      <c r="Q25" s="27"/>
      <c r="R25" s="132"/>
    </row>
    <row r="26" spans="1:18" x14ac:dyDescent="0.35">
      <c r="A26" s="132"/>
      <c r="B26" s="27"/>
      <c r="C26" s="27"/>
      <c r="D26" s="27"/>
      <c r="E26" s="27"/>
      <c r="F26" s="27"/>
      <c r="G26" s="27"/>
      <c r="H26" s="27"/>
      <c r="I26" s="27"/>
      <c r="J26" s="27"/>
      <c r="K26" s="27"/>
      <c r="L26" s="27"/>
      <c r="M26" s="27"/>
      <c r="N26" s="27"/>
      <c r="O26" s="27"/>
      <c r="P26" s="27"/>
      <c r="Q26" s="27"/>
      <c r="R26" s="132"/>
    </row>
    <row r="27" spans="1:18" ht="45" customHeight="1" x14ac:dyDescent="0.35">
      <c r="A27" s="132"/>
      <c r="B27" s="27"/>
      <c r="C27" s="153" t="s">
        <v>401</v>
      </c>
      <c r="D27" s="153"/>
      <c r="E27" s="153"/>
      <c r="F27" s="153"/>
      <c r="G27" s="153"/>
      <c r="H27" s="153"/>
      <c r="I27" s="153"/>
      <c r="J27" s="153"/>
      <c r="K27" s="153"/>
      <c r="L27" s="153"/>
      <c r="M27" s="153"/>
      <c r="N27" s="153"/>
      <c r="O27" s="153"/>
      <c r="P27" s="153"/>
      <c r="Q27" s="27"/>
      <c r="R27" s="132"/>
    </row>
    <row r="28" spans="1:18" x14ac:dyDescent="0.35">
      <c r="A28" s="132"/>
      <c r="B28" s="27"/>
      <c r="C28" s="27"/>
      <c r="D28" s="27"/>
      <c r="E28" s="27"/>
      <c r="F28" s="27"/>
      <c r="G28" s="27"/>
      <c r="H28" s="27"/>
      <c r="I28" s="27"/>
      <c r="J28" s="27"/>
      <c r="K28" s="27"/>
      <c r="L28" s="27"/>
      <c r="M28" s="27"/>
      <c r="N28" s="27"/>
      <c r="O28" s="27"/>
      <c r="P28" s="27"/>
      <c r="Q28" s="27"/>
      <c r="R28" s="132"/>
    </row>
    <row r="29" spans="1:18" x14ac:dyDescent="0.35">
      <c r="A29" s="132"/>
      <c r="B29" s="27"/>
      <c r="C29" s="153" t="s">
        <v>402</v>
      </c>
      <c r="D29" s="153"/>
      <c r="E29" s="153"/>
      <c r="F29" s="153"/>
      <c r="G29" s="153"/>
      <c r="H29" s="153"/>
      <c r="I29" s="153"/>
      <c r="J29" s="153"/>
      <c r="K29" s="153"/>
      <c r="L29" s="153"/>
      <c r="M29" s="153"/>
      <c r="N29" s="153"/>
      <c r="O29" s="153"/>
      <c r="P29" s="153"/>
      <c r="Q29" s="27"/>
      <c r="R29" s="132"/>
    </row>
    <row r="30" spans="1:18" x14ac:dyDescent="0.35">
      <c r="A30" s="132"/>
      <c r="B30" s="27"/>
      <c r="C30" s="27"/>
      <c r="D30" s="27"/>
      <c r="E30" s="27"/>
      <c r="F30" s="27"/>
      <c r="G30" s="27"/>
      <c r="H30" s="27"/>
      <c r="I30" s="27"/>
      <c r="J30" s="27"/>
      <c r="K30" s="27"/>
      <c r="L30" s="27"/>
      <c r="M30" s="27"/>
      <c r="N30" s="27"/>
      <c r="O30" s="27"/>
      <c r="P30" s="27"/>
      <c r="Q30" s="27"/>
      <c r="R30" s="132"/>
    </row>
    <row r="31" spans="1:18" x14ac:dyDescent="0.35">
      <c r="A31" s="132"/>
      <c r="B31" s="27"/>
      <c r="C31" s="28" t="s">
        <v>396</v>
      </c>
      <c r="D31" s="27"/>
      <c r="E31" s="27"/>
      <c r="F31" s="27"/>
      <c r="G31" s="27"/>
      <c r="H31" s="27"/>
      <c r="I31" s="27"/>
      <c r="J31" s="27"/>
      <c r="K31" s="27"/>
      <c r="L31" s="27"/>
      <c r="M31" s="27"/>
      <c r="N31" s="27"/>
      <c r="O31" s="27"/>
      <c r="P31" s="27"/>
      <c r="Q31" s="27"/>
      <c r="R31" s="132"/>
    </row>
    <row r="32" spans="1:18" x14ac:dyDescent="0.35">
      <c r="A32" s="132"/>
      <c r="B32" s="27"/>
      <c r="C32" s="28"/>
      <c r="D32" s="27"/>
      <c r="E32" s="27"/>
      <c r="F32" s="27"/>
      <c r="G32" s="27"/>
      <c r="H32" s="27"/>
      <c r="I32" s="27"/>
      <c r="J32" s="27"/>
      <c r="K32" s="27"/>
      <c r="L32" s="27"/>
      <c r="M32" s="27"/>
      <c r="N32" s="27"/>
      <c r="O32" s="27"/>
      <c r="P32" s="27"/>
      <c r="Q32" s="27"/>
      <c r="R32" s="132"/>
    </row>
    <row r="33" spans="1:18" x14ac:dyDescent="0.35">
      <c r="A33" s="132"/>
      <c r="B33" s="27"/>
      <c r="C33" s="153" t="s">
        <v>403</v>
      </c>
      <c r="D33" s="153"/>
      <c r="E33" s="153"/>
      <c r="F33" s="153"/>
      <c r="G33" s="153"/>
      <c r="H33" s="153"/>
      <c r="I33" s="153"/>
      <c r="J33" s="153"/>
      <c r="K33" s="153"/>
      <c r="L33" s="153"/>
      <c r="M33" s="153"/>
      <c r="N33" s="153"/>
      <c r="O33" s="153"/>
      <c r="P33" s="153"/>
      <c r="Q33" s="27"/>
      <c r="R33" s="132"/>
    </row>
    <row r="34" spans="1:18" x14ac:dyDescent="0.35">
      <c r="A34" s="132"/>
      <c r="B34" s="27"/>
      <c r="C34" s="130"/>
      <c r="D34" s="130"/>
      <c r="E34" s="130"/>
      <c r="F34" s="130"/>
      <c r="G34" s="130"/>
      <c r="H34" s="130"/>
      <c r="I34" s="130"/>
      <c r="J34" s="130"/>
      <c r="K34" s="130"/>
      <c r="L34" s="130"/>
      <c r="M34" s="130"/>
      <c r="N34" s="130"/>
      <c r="O34" s="130"/>
      <c r="P34" s="130"/>
      <c r="Q34" s="27"/>
      <c r="R34" s="132"/>
    </row>
    <row r="35" spans="1:18" x14ac:dyDescent="0.35">
      <c r="A35" s="132"/>
      <c r="B35" s="27"/>
      <c r="C35" s="130"/>
      <c r="D35" s="130"/>
      <c r="E35" s="130"/>
      <c r="F35" s="130"/>
      <c r="G35" s="130"/>
      <c r="H35" s="130"/>
      <c r="I35" s="130"/>
      <c r="J35" s="130"/>
      <c r="K35" s="130"/>
      <c r="L35" s="130"/>
      <c r="M35" s="130"/>
      <c r="N35" s="130"/>
      <c r="O35" s="130"/>
      <c r="P35" s="130"/>
      <c r="Q35" s="27"/>
      <c r="R35" s="132"/>
    </row>
    <row r="36" spans="1:18" x14ac:dyDescent="0.35">
      <c r="A36" s="132"/>
      <c r="B36" s="27"/>
      <c r="C36" s="130"/>
      <c r="D36" s="130"/>
      <c r="E36" s="130"/>
      <c r="F36" s="130"/>
      <c r="G36" s="130"/>
      <c r="H36" s="130"/>
      <c r="I36" s="130"/>
      <c r="J36" s="130"/>
      <c r="K36" s="130"/>
      <c r="L36" s="130"/>
      <c r="M36" s="130"/>
      <c r="N36" s="130"/>
      <c r="O36" s="130"/>
      <c r="P36" s="130"/>
      <c r="Q36" s="27"/>
      <c r="R36" s="132"/>
    </row>
    <row r="37" spans="1:18" x14ac:dyDescent="0.35">
      <c r="A37" s="132"/>
      <c r="B37" s="27"/>
      <c r="C37" s="28"/>
      <c r="D37" s="27"/>
      <c r="E37" s="27"/>
      <c r="F37" s="27"/>
      <c r="G37" s="27"/>
      <c r="H37" s="27"/>
      <c r="I37" s="27"/>
      <c r="J37" s="27"/>
      <c r="K37" s="27"/>
      <c r="L37" s="27"/>
      <c r="M37" s="27"/>
      <c r="N37" s="27"/>
      <c r="O37" s="27"/>
      <c r="P37" s="27"/>
      <c r="Q37" s="27"/>
      <c r="R37" s="132"/>
    </row>
    <row r="38" spans="1:18" ht="30" customHeight="1" x14ac:dyDescent="0.35">
      <c r="A38" s="132"/>
      <c r="B38" s="27"/>
      <c r="C38" s="28"/>
      <c r="D38" s="27"/>
      <c r="E38" s="27"/>
      <c r="F38" s="27"/>
      <c r="G38" s="27"/>
      <c r="H38" s="27"/>
      <c r="I38" s="27"/>
      <c r="J38" s="27"/>
      <c r="K38" s="27"/>
      <c r="L38" s="27"/>
      <c r="M38" s="27"/>
      <c r="N38" s="127"/>
      <c r="O38" s="27"/>
      <c r="P38" s="27"/>
      <c r="Q38" s="27"/>
      <c r="R38" s="132"/>
    </row>
    <row r="39" spans="1:18" x14ac:dyDescent="0.35">
      <c r="A39" s="132"/>
      <c r="B39" s="132"/>
      <c r="C39" s="132"/>
      <c r="D39" s="132"/>
      <c r="E39" s="132"/>
      <c r="F39" s="132"/>
      <c r="G39" s="132"/>
      <c r="H39" s="132"/>
      <c r="I39" s="132"/>
      <c r="J39" s="132"/>
      <c r="K39" s="132"/>
      <c r="L39" s="132"/>
      <c r="M39" s="132"/>
      <c r="N39" s="132"/>
      <c r="O39" s="132"/>
      <c r="P39" s="132"/>
      <c r="Q39" s="132"/>
      <c r="R39" s="132"/>
    </row>
  </sheetData>
  <sheetProtection algorithmName="SHA-512" hashValue="cBmmRdXrGa7pHRm7hFiL2JGbKbwLOjsmgvvQHBfbeYWG6cBU1zkXHy8SWmbu8TaK7H06+l+3r6S/8AIhHCSw9A==" saltValue="RFVTl/jdpcc+je2G1Sc/OQ==" spinCount="100000" sheet="1" objects="1" scenarios="1"/>
  <mergeCells count="7">
    <mergeCell ref="D2:Q8"/>
    <mergeCell ref="C33:P33"/>
    <mergeCell ref="C12:P12"/>
    <mergeCell ref="C23:P23"/>
    <mergeCell ref="C27:P27"/>
    <mergeCell ref="C29:P29"/>
    <mergeCell ref="C14:P1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26552-5D5D-4197-BE24-EC259741F072}">
  <dimension ref="A1:AA63"/>
  <sheetViews>
    <sheetView showGridLines="0" showRowColHeaders="0" zoomScaleNormal="100" workbookViewId="0"/>
  </sheetViews>
  <sheetFormatPr defaultRowHeight="14.5" x14ac:dyDescent="0.35"/>
  <cols>
    <col min="1" max="2" width="3.1796875" customWidth="1"/>
    <col min="3" max="3" width="20.7265625" customWidth="1"/>
    <col min="4" max="6" width="12.7265625" customWidth="1"/>
    <col min="7" max="7" width="6.7265625" customWidth="1"/>
    <col min="8" max="8" width="5.1796875" customWidth="1"/>
    <col min="9" max="10" width="20.7265625" customWidth="1"/>
    <col min="11" max="12" width="12.7265625" customWidth="1"/>
    <col min="13" max="13" width="15.54296875" customWidth="1"/>
    <col min="14" max="14" width="20.7265625" customWidth="1"/>
    <col min="15" max="16" width="3.1796875" customWidth="1"/>
    <col min="18" max="18" width="27.54296875" hidden="1" customWidth="1"/>
    <col min="19" max="20" width="15" hidden="1" customWidth="1"/>
    <col min="21" max="21" width="12.7265625" hidden="1" customWidth="1"/>
    <col min="22" max="22" width="14" hidden="1" customWidth="1"/>
    <col min="23" max="23" width="7.26953125" hidden="1" customWidth="1"/>
    <col min="24" max="24" width="5.7265625" hidden="1" customWidth="1"/>
    <col min="25" max="25" width="27.453125" hidden="1" customWidth="1"/>
    <col min="26" max="26" width="5.7265625" hidden="1" customWidth="1"/>
    <col min="27" max="27" width="6.7265625" hidden="1" customWidth="1"/>
    <col min="28" max="28" width="9.1796875" customWidth="1"/>
  </cols>
  <sheetData>
    <row r="1" spans="1:18" x14ac:dyDescent="0.35">
      <c r="A1" s="132"/>
      <c r="B1" s="132"/>
      <c r="C1" s="132"/>
      <c r="D1" s="132"/>
      <c r="E1" s="132"/>
      <c r="F1" s="132"/>
      <c r="G1" s="132"/>
      <c r="H1" s="132"/>
      <c r="I1" s="132"/>
      <c r="J1" s="132"/>
      <c r="K1" s="132"/>
      <c r="L1" s="132"/>
      <c r="M1" s="132"/>
      <c r="N1" s="132"/>
      <c r="O1" s="132"/>
      <c r="P1" s="132"/>
    </row>
    <row r="2" spans="1:18" ht="14.65" customHeight="1" x14ac:dyDescent="0.35">
      <c r="A2" s="132"/>
      <c r="B2" s="151" t="s">
        <v>484</v>
      </c>
      <c r="C2" s="152"/>
      <c r="D2" s="152"/>
      <c r="E2" s="152"/>
      <c r="F2" s="152"/>
      <c r="G2" s="152"/>
      <c r="H2" s="152"/>
      <c r="I2" s="152"/>
      <c r="J2" s="152"/>
      <c r="K2" s="152"/>
      <c r="L2" s="152"/>
      <c r="M2" s="152"/>
      <c r="N2" s="152"/>
      <c r="O2" s="152"/>
      <c r="P2" s="132"/>
    </row>
    <row r="3" spans="1:18" ht="14.65" customHeight="1" x14ac:dyDescent="0.35">
      <c r="A3" s="132"/>
      <c r="B3" s="152"/>
      <c r="C3" s="152"/>
      <c r="D3" s="152"/>
      <c r="E3" s="152"/>
      <c r="F3" s="152"/>
      <c r="G3" s="152"/>
      <c r="H3" s="152"/>
      <c r="I3" s="152"/>
      <c r="J3" s="152"/>
      <c r="K3" s="152"/>
      <c r="L3" s="152"/>
      <c r="M3" s="152"/>
      <c r="N3" s="152"/>
      <c r="O3" s="152"/>
      <c r="P3" s="132"/>
    </row>
    <row r="4" spans="1:18" ht="14.65" customHeight="1" x14ac:dyDescent="0.35">
      <c r="A4" s="132"/>
      <c r="B4" s="152"/>
      <c r="C4" s="152"/>
      <c r="D4" s="152"/>
      <c r="E4" s="152"/>
      <c r="F4" s="152"/>
      <c r="G4" s="152"/>
      <c r="H4" s="152"/>
      <c r="I4" s="152"/>
      <c r="J4" s="152"/>
      <c r="K4" s="152"/>
      <c r="L4" s="152"/>
      <c r="M4" s="152"/>
      <c r="N4" s="152"/>
      <c r="O4" s="152"/>
      <c r="P4" s="132"/>
    </row>
    <row r="5" spans="1:18" ht="14.65" customHeight="1" x14ac:dyDescent="0.35">
      <c r="A5" s="132"/>
      <c r="B5" s="152"/>
      <c r="C5" s="152"/>
      <c r="D5" s="152"/>
      <c r="E5" s="152"/>
      <c r="F5" s="152"/>
      <c r="G5" s="152"/>
      <c r="H5" s="152"/>
      <c r="I5" s="152"/>
      <c r="J5" s="152"/>
      <c r="K5" s="152"/>
      <c r="L5" s="152"/>
      <c r="M5" s="152"/>
      <c r="N5" s="152"/>
      <c r="O5" s="152"/>
      <c r="P5" s="132"/>
    </row>
    <row r="6" spans="1:18" ht="14.65" customHeight="1" x14ac:dyDescent="0.35">
      <c r="A6" s="132"/>
      <c r="B6" s="152"/>
      <c r="C6" s="152"/>
      <c r="D6" s="152"/>
      <c r="E6" s="152"/>
      <c r="F6" s="152"/>
      <c r="G6" s="152"/>
      <c r="H6" s="152"/>
      <c r="I6" s="152"/>
      <c r="J6" s="152"/>
      <c r="K6" s="152"/>
      <c r="L6" s="152"/>
      <c r="M6" s="152"/>
      <c r="N6" s="152"/>
      <c r="O6" s="152"/>
      <c r="P6" s="132"/>
    </row>
    <row r="7" spans="1:18" ht="14.65" customHeight="1" x14ac:dyDescent="0.35">
      <c r="A7" s="132"/>
      <c r="B7" s="152"/>
      <c r="C7" s="152"/>
      <c r="D7" s="152"/>
      <c r="E7" s="152"/>
      <c r="F7" s="152"/>
      <c r="G7" s="152"/>
      <c r="H7" s="152"/>
      <c r="I7" s="152"/>
      <c r="J7" s="152"/>
      <c r="K7" s="152"/>
      <c r="L7" s="152"/>
      <c r="M7" s="152"/>
      <c r="N7" s="152"/>
      <c r="O7" s="152"/>
      <c r="P7" s="132"/>
    </row>
    <row r="8" spans="1:18" ht="14.65" customHeight="1" x14ac:dyDescent="0.35">
      <c r="A8" s="132"/>
      <c r="B8" s="152"/>
      <c r="C8" s="152"/>
      <c r="D8" s="152"/>
      <c r="E8" s="152"/>
      <c r="F8" s="152"/>
      <c r="G8" s="152"/>
      <c r="H8" s="152"/>
      <c r="I8" s="152"/>
      <c r="J8" s="152"/>
      <c r="K8" s="152"/>
      <c r="L8" s="152"/>
      <c r="M8" s="152"/>
      <c r="N8" s="152"/>
      <c r="O8" s="152"/>
      <c r="P8" s="132"/>
    </row>
    <row r="9" spans="1:18" x14ac:dyDescent="0.35">
      <c r="A9" s="132"/>
      <c r="B9" s="62"/>
      <c r="C9" s="62"/>
      <c r="D9" s="62"/>
      <c r="E9" s="62"/>
      <c r="F9" s="62"/>
      <c r="G9" s="62"/>
      <c r="H9" s="62"/>
      <c r="I9" s="62"/>
      <c r="J9" s="62"/>
      <c r="K9" s="62"/>
      <c r="L9" s="62"/>
      <c r="M9" s="62"/>
      <c r="N9" s="62"/>
      <c r="O9" s="62"/>
      <c r="P9" s="132"/>
    </row>
    <row r="10" spans="1:18" x14ac:dyDescent="0.35">
      <c r="A10" s="132"/>
      <c r="B10" s="27"/>
      <c r="C10" s="28" t="s">
        <v>307</v>
      </c>
      <c r="D10" s="27"/>
      <c r="E10" s="27"/>
      <c r="F10" s="27"/>
      <c r="G10" s="27"/>
      <c r="H10" s="27"/>
      <c r="I10" s="27"/>
      <c r="J10" s="27"/>
      <c r="K10" s="27"/>
      <c r="L10" s="27"/>
      <c r="M10" s="27"/>
      <c r="N10" s="27"/>
      <c r="O10" s="27"/>
      <c r="P10" s="132"/>
    </row>
    <row r="11" spans="1:18" x14ac:dyDescent="0.35">
      <c r="A11" s="132"/>
      <c r="B11" s="27"/>
      <c r="C11" s="28"/>
      <c r="D11" s="27"/>
      <c r="E11" s="27"/>
      <c r="F11" s="27"/>
      <c r="G11" s="27"/>
      <c r="H11" s="27"/>
      <c r="I11" s="27"/>
      <c r="J11" s="27"/>
      <c r="K11" s="27"/>
      <c r="L11" s="27"/>
      <c r="M11" s="27"/>
      <c r="N11" s="27"/>
      <c r="O11" s="27"/>
      <c r="P11" s="132"/>
    </row>
    <row r="12" spans="1:18" x14ac:dyDescent="0.35">
      <c r="A12" s="132"/>
      <c r="B12" s="27"/>
      <c r="C12" s="31" t="s">
        <v>6</v>
      </c>
      <c r="D12" s="158"/>
      <c r="E12" s="158"/>
      <c r="F12" s="158"/>
      <c r="G12" s="158"/>
      <c r="H12" s="158"/>
      <c r="I12" s="158"/>
      <c r="J12" s="158"/>
      <c r="K12" s="158"/>
      <c r="L12" s="158"/>
      <c r="M12" s="158"/>
      <c r="N12" s="158"/>
      <c r="O12" s="32"/>
      <c r="P12" s="132"/>
    </row>
    <row r="13" spans="1:18" x14ac:dyDescent="0.35">
      <c r="A13" s="132"/>
      <c r="B13" s="27"/>
      <c r="C13" s="31"/>
      <c r="D13" s="32"/>
      <c r="E13" s="32"/>
      <c r="F13" s="32"/>
      <c r="G13" s="32"/>
      <c r="H13" s="32"/>
      <c r="I13" s="32"/>
      <c r="J13" s="32"/>
      <c r="K13" s="32"/>
      <c r="L13" s="32"/>
      <c r="M13" s="32"/>
      <c r="N13" s="32"/>
      <c r="O13" s="32"/>
      <c r="P13" s="132"/>
    </row>
    <row r="14" spans="1:18" ht="14.65" customHeight="1" x14ac:dyDescent="0.35">
      <c r="A14" s="132"/>
      <c r="B14" s="27"/>
      <c r="C14" s="31" t="s">
        <v>7</v>
      </c>
      <c r="D14" s="165"/>
      <c r="E14" s="165"/>
      <c r="F14" s="165"/>
      <c r="G14" s="32"/>
      <c r="H14" s="114" t="s">
        <v>8</v>
      </c>
      <c r="I14" s="115"/>
      <c r="J14" s="114" t="s">
        <v>10</v>
      </c>
      <c r="K14" s="97"/>
      <c r="L14" s="32"/>
      <c r="M14" s="163" t="s">
        <v>304</v>
      </c>
      <c r="N14" s="163"/>
      <c r="O14" s="32"/>
      <c r="P14" s="132"/>
    </row>
    <row r="15" spans="1:18" x14ac:dyDescent="0.35">
      <c r="A15" s="132"/>
      <c r="B15" s="27"/>
      <c r="C15" s="31"/>
      <c r="D15" s="32"/>
      <c r="E15" s="32"/>
      <c r="F15" s="32"/>
      <c r="G15" s="32"/>
      <c r="H15" s="32"/>
      <c r="I15" s="32"/>
      <c r="J15" s="32"/>
      <c r="K15" s="32"/>
      <c r="L15" s="32"/>
      <c r="M15" s="163"/>
      <c r="N15" s="163"/>
      <c r="O15" s="32"/>
      <c r="P15" s="132"/>
      <c r="R15" t="s">
        <v>314</v>
      </c>
    </row>
    <row r="16" spans="1:18" ht="16.5" x14ac:dyDescent="0.35">
      <c r="A16" s="132"/>
      <c r="B16" s="27"/>
      <c r="C16" s="31" t="s">
        <v>9</v>
      </c>
      <c r="D16" s="159" t="s">
        <v>59</v>
      </c>
      <c r="E16" s="159"/>
      <c r="F16" s="31"/>
      <c r="G16" s="31"/>
      <c r="H16" s="114" t="s">
        <v>11</v>
      </c>
      <c r="I16" s="116"/>
      <c r="J16" s="114" t="s">
        <v>5</v>
      </c>
      <c r="K16" s="98"/>
      <c r="L16" s="31" t="s">
        <v>406</v>
      </c>
      <c r="M16" s="117"/>
      <c r="N16" s="102" t="s">
        <v>30</v>
      </c>
      <c r="O16" s="32"/>
      <c r="P16" s="132"/>
      <c r="R16" t="s">
        <v>315</v>
      </c>
    </row>
    <row r="17" spans="1:25" x14ac:dyDescent="0.35">
      <c r="A17" s="132"/>
      <c r="B17" s="27"/>
      <c r="C17" s="31"/>
      <c r="D17" s="32"/>
      <c r="E17" s="32"/>
      <c r="F17" s="32"/>
      <c r="G17" s="32"/>
      <c r="H17" s="32"/>
      <c r="I17" s="32"/>
      <c r="J17" s="32"/>
      <c r="K17" s="32"/>
      <c r="L17" s="32"/>
      <c r="M17" s="32"/>
      <c r="O17" s="32"/>
      <c r="P17" s="132"/>
    </row>
    <row r="18" spans="1:25" x14ac:dyDescent="0.35">
      <c r="A18" s="132"/>
      <c r="B18" s="27"/>
      <c r="C18" s="31"/>
      <c r="D18" s="31"/>
      <c r="E18" s="31"/>
      <c r="F18" s="31"/>
      <c r="G18" s="31"/>
      <c r="H18" s="31"/>
      <c r="I18" s="31"/>
      <c r="J18" s="31"/>
      <c r="K18" s="31"/>
      <c r="L18" s="31"/>
      <c r="M18" s="31"/>
      <c r="N18" s="31"/>
      <c r="O18" s="31"/>
      <c r="P18" s="132"/>
    </row>
    <row r="19" spans="1:25" x14ac:dyDescent="0.35">
      <c r="A19" s="132"/>
      <c r="B19" s="27"/>
      <c r="D19" s="27"/>
      <c r="E19" s="28" t="s">
        <v>308</v>
      </c>
      <c r="F19" s="27"/>
      <c r="G19" s="27"/>
      <c r="H19" s="27"/>
      <c r="I19" s="27"/>
      <c r="J19" s="27"/>
      <c r="K19" s="28" t="s">
        <v>476</v>
      </c>
      <c r="L19" s="27"/>
      <c r="M19" s="31"/>
      <c r="N19" s="31"/>
      <c r="O19" s="31"/>
      <c r="P19" s="132"/>
    </row>
    <row r="20" spans="1:25" x14ac:dyDescent="0.35">
      <c r="A20" s="132"/>
      <c r="B20" s="27"/>
      <c r="C20" s="164" t="s">
        <v>313</v>
      </c>
      <c r="D20" s="164"/>
      <c r="E20" s="164"/>
      <c r="F20" s="99">
        <v>20</v>
      </c>
      <c r="G20" s="27" t="s">
        <v>20</v>
      </c>
      <c r="H20" s="27"/>
      <c r="I20" s="27"/>
      <c r="J20" s="27" t="s">
        <v>305</v>
      </c>
      <c r="K20" s="99">
        <v>20</v>
      </c>
      <c r="L20" s="27" t="s">
        <v>32</v>
      </c>
      <c r="M20" s="31"/>
      <c r="N20" s="31"/>
      <c r="O20" s="31"/>
      <c r="P20" s="132"/>
      <c r="R20" t="s">
        <v>23</v>
      </c>
    </row>
    <row r="21" spans="1:25" x14ac:dyDescent="0.35">
      <c r="A21" s="132"/>
      <c r="B21" s="27"/>
      <c r="C21" s="28"/>
      <c r="D21" s="27"/>
      <c r="E21" s="27"/>
      <c r="F21" s="27"/>
      <c r="G21" s="27"/>
      <c r="H21" s="27"/>
      <c r="I21" s="27"/>
      <c r="J21" s="27"/>
      <c r="K21" s="27"/>
      <c r="L21" s="27"/>
      <c r="M21" s="31"/>
      <c r="N21" s="31"/>
      <c r="O21" s="31"/>
      <c r="P21" s="132"/>
      <c r="R21" t="s">
        <v>30</v>
      </c>
    </row>
    <row r="22" spans="1:25" x14ac:dyDescent="0.35">
      <c r="A22" s="132"/>
      <c r="B22" s="27"/>
      <c r="C22" s="164" t="s">
        <v>18</v>
      </c>
      <c r="D22" s="164"/>
      <c r="E22" s="164"/>
      <c r="F22" s="99">
        <v>3</v>
      </c>
      <c r="G22" s="27" t="s">
        <v>12</v>
      </c>
      <c r="H22" s="27"/>
      <c r="I22" s="27"/>
      <c r="J22" s="27" t="s">
        <v>14</v>
      </c>
      <c r="K22" s="99">
        <v>10</v>
      </c>
      <c r="L22" s="99" t="s">
        <v>33</v>
      </c>
      <c r="M22" s="31"/>
      <c r="N22" s="31"/>
      <c r="O22" s="31"/>
      <c r="P22" s="132"/>
    </row>
    <row r="23" spans="1:25" x14ac:dyDescent="0.35">
      <c r="A23" s="132"/>
      <c r="B23" s="27"/>
      <c r="C23" s="27"/>
      <c r="D23" s="27"/>
      <c r="E23" s="27"/>
      <c r="F23" s="27"/>
      <c r="G23" s="27"/>
      <c r="H23" s="27"/>
      <c r="I23" s="27"/>
      <c r="J23" s="27"/>
      <c r="K23" s="27"/>
      <c r="L23" s="27"/>
      <c r="M23" s="31"/>
      <c r="N23" s="31"/>
      <c r="O23" s="31"/>
      <c r="P23" s="132"/>
      <c r="R23" t="s">
        <v>33</v>
      </c>
    </row>
    <row r="24" spans="1:25" x14ac:dyDescent="0.35">
      <c r="A24" s="132"/>
      <c r="B24" s="27"/>
      <c r="C24" s="164" t="s">
        <v>19</v>
      </c>
      <c r="D24" s="164"/>
      <c r="E24" s="164"/>
      <c r="F24" s="99">
        <v>2</v>
      </c>
      <c r="G24" s="27" t="s">
        <v>12</v>
      </c>
      <c r="H24" s="27"/>
      <c r="I24" s="27"/>
      <c r="J24" s="27" t="s">
        <v>306</v>
      </c>
      <c r="K24" s="99">
        <v>50</v>
      </c>
      <c r="L24" s="27" t="s">
        <v>32</v>
      </c>
      <c r="M24" s="31"/>
      <c r="N24" s="31"/>
      <c r="O24" s="31"/>
      <c r="P24" s="132"/>
      <c r="R24" t="s">
        <v>12</v>
      </c>
    </row>
    <row r="25" spans="1:25" x14ac:dyDescent="0.35">
      <c r="A25" s="132"/>
      <c r="B25" s="27"/>
      <c r="C25" s="27"/>
      <c r="D25" s="27"/>
      <c r="E25" s="27"/>
      <c r="F25" s="27"/>
      <c r="G25" s="27"/>
      <c r="H25" s="27"/>
      <c r="I25" s="27"/>
      <c r="J25" s="27"/>
      <c r="K25" s="27"/>
      <c r="L25" s="27"/>
      <c r="M25" s="31"/>
      <c r="N25" s="31"/>
      <c r="O25" s="31"/>
      <c r="P25" s="132"/>
    </row>
    <row r="26" spans="1:25" x14ac:dyDescent="0.35">
      <c r="A26" s="132"/>
      <c r="B26" s="27"/>
      <c r="D26" s="33"/>
      <c r="E26" s="33"/>
      <c r="H26" s="27"/>
      <c r="I26" s="27"/>
      <c r="J26" s="27"/>
      <c r="K26" s="27"/>
      <c r="L26" s="27"/>
      <c r="M26" s="31"/>
      <c r="N26" s="31"/>
      <c r="O26" s="31"/>
      <c r="P26" s="132"/>
    </row>
    <row r="27" spans="1:25" x14ac:dyDescent="0.35">
      <c r="A27" s="132"/>
      <c r="B27" s="27"/>
      <c r="C27" s="28" t="s">
        <v>441</v>
      </c>
      <c r="D27" s="27"/>
      <c r="E27" s="27"/>
      <c r="F27" s="27"/>
      <c r="G27" s="27"/>
      <c r="H27" s="27"/>
      <c r="I27" s="27"/>
      <c r="J27" s="27"/>
      <c r="K27" s="27"/>
      <c r="L27" s="27"/>
      <c r="M27" s="27"/>
      <c r="N27" s="27"/>
      <c r="O27" s="27"/>
      <c r="P27" s="132"/>
    </row>
    <row r="28" spans="1:25" x14ac:dyDescent="0.35">
      <c r="A28" s="132"/>
      <c r="B28" s="27"/>
      <c r="C28" s="33"/>
      <c r="D28" s="27"/>
      <c r="E28" s="27"/>
      <c r="F28" s="27"/>
      <c r="G28" s="27"/>
      <c r="H28" s="27"/>
      <c r="I28" s="27"/>
      <c r="J28" s="27"/>
      <c r="K28" s="27"/>
      <c r="L28" s="27"/>
      <c r="M28" s="27"/>
      <c r="N28" s="27"/>
      <c r="O28" s="27"/>
      <c r="P28" s="132"/>
    </row>
    <row r="29" spans="1:25" x14ac:dyDescent="0.35">
      <c r="A29" s="132"/>
      <c r="B29" s="27"/>
      <c r="C29" s="160" t="s">
        <v>309</v>
      </c>
      <c r="D29" s="160"/>
      <c r="E29" s="160"/>
      <c r="F29" s="161" t="s">
        <v>460</v>
      </c>
      <c r="G29" s="161"/>
      <c r="H29" s="134"/>
      <c r="I29" s="134" t="s">
        <v>1</v>
      </c>
      <c r="J29" s="135" t="s">
        <v>246</v>
      </c>
      <c r="K29" s="161" t="s">
        <v>4</v>
      </c>
      <c r="L29" s="161"/>
      <c r="M29" s="134"/>
      <c r="N29" s="134" t="s">
        <v>1</v>
      </c>
      <c r="O29" s="27"/>
      <c r="P29" s="132"/>
      <c r="R29" t="s">
        <v>235</v>
      </c>
      <c r="S29" t="s">
        <v>238</v>
      </c>
      <c r="T29" t="s">
        <v>239</v>
      </c>
      <c r="U29" t="s">
        <v>242</v>
      </c>
      <c r="V29" t="s">
        <v>243</v>
      </c>
      <c r="W29" t="s">
        <v>247</v>
      </c>
      <c r="Y29" t="s">
        <v>235</v>
      </c>
    </row>
    <row r="30" spans="1:25" x14ac:dyDescent="0.35">
      <c r="A30" s="132"/>
      <c r="B30" s="27"/>
      <c r="C30" s="156" t="s">
        <v>347</v>
      </c>
      <c r="D30" s="156"/>
      <c r="E30" s="156"/>
      <c r="F30" s="166">
        <v>0.26</v>
      </c>
      <c r="G30" s="166"/>
      <c r="H30" s="53" t="s">
        <v>359</v>
      </c>
      <c r="I30" s="100" t="s">
        <v>327</v>
      </c>
      <c r="J30" s="101">
        <v>0.02</v>
      </c>
      <c r="K30" s="157">
        <f>VLOOKUP(D16, 'Emissions Tables'!$B$23:$H$35, 7, FALSE)</f>
        <v>0.1779088998408801</v>
      </c>
      <c r="L30" s="157"/>
      <c r="M30" s="53" t="s">
        <v>360</v>
      </c>
      <c r="N30" s="54" t="s">
        <v>147</v>
      </c>
      <c r="O30" s="27"/>
      <c r="P30" s="132"/>
      <c r="R30" t="str">
        <f t="shared" ref="R30:R40" si="0">C30</f>
        <v>Natural_Gas</v>
      </c>
      <c r="S30" s="10">
        <f>$F30/INDEX('Unit Conversions Array'!$B$4:$Y$23, MATCH('General Project Info'!$C30, 'Unit Conversions Array'!$B$4:$B$23, 0), MATCH('General Project Info'!$I30, 'Unit Conversions Array'!$B$3:$Y$3, 0))</f>
        <v>7.1379547014413184E-3</v>
      </c>
      <c r="T30" s="11">
        <f>S30*3.412</f>
        <v>2.4354701441317777E-2</v>
      </c>
      <c r="U30">
        <f>$K30/(INDEX('Unit Conversions Array'!$E$4:$Y$23,MATCH('General Project Info'!$C30,'Unit Conversions Array'!$B$4:$B$23,0),MATCH('General Project Info'!$N30,'Unit Conversions Array'!$E$3:$Y$3,0)))</f>
        <v>5.2142116014325939E-2</v>
      </c>
      <c r="V30">
        <f>U30*3.412</f>
        <v>0.1779088998408801</v>
      </c>
      <c r="W30" s="12">
        <f>1+$J30</f>
        <v>1.02</v>
      </c>
      <c r="Y30" t="str">
        <f>R30</f>
        <v>Natural_Gas</v>
      </c>
    </row>
    <row r="31" spans="1:25" x14ac:dyDescent="0.35">
      <c r="A31" s="132"/>
      <c r="B31" s="27"/>
      <c r="C31" s="156" t="s">
        <v>15</v>
      </c>
      <c r="D31" s="156"/>
      <c r="E31" s="156"/>
      <c r="F31" s="166">
        <v>0.16</v>
      </c>
      <c r="G31" s="166" t="s">
        <v>16</v>
      </c>
      <c r="H31" s="53" t="s">
        <v>359</v>
      </c>
      <c r="I31" s="100" t="s">
        <v>147</v>
      </c>
      <c r="J31" s="101">
        <v>0.03</v>
      </c>
      <c r="K31" s="162">
        <f>VLOOKUP(D16, 'Emissions Tables'!$B$23:$E$35, 4, FALSE)/1000</f>
        <v>3.7999999999999999E-2</v>
      </c>
      <c r="L31" s="162"/>
      <c r="M31" s="53" t="s">
        <v>360</v>
      </c>
      <c r="N31" s="54" t="s">
        <v>147</v>
      </c>
      <c r="O31" s="27"/>
      <c r="P31" s="132"/>
      <c r="R31" t="str">
        <f t="shared" si="0"/>
        <v>Electricity</v>
      </c>
      <c r="S31" s="10">
        <f>$F31/INDEX('Unit Conversions Array'!$B$4:$Y$23, MATCH('General Project Info'!$C31, 'Unit Conversions Array'!$B$4:$B$23, 0), MATCH('General Project Info'!$I31, 'Unit Conversions Array'!$B$3:$Y$3, 0))</f>
        <v>4.6893317702227433E-2</v>
      </c>
      <c r="T31" s="11">
        <f>S31*3.412</f>
        <v>0.16</v>
      </c>
      <c r="U31">
        <f>$K31/(INDEX('Unit Conversions Array'!$E$4:$Y$23,MATCH('General Project Info'!$C31,'Unit Conversions Array'!$B$4:$B$23,0),MATCH('General Project Info'!$N31,'Unit Conversions Array'!$E$3:$Y$3,0)))</f>
        <v>1.1137162954279016E-2</v>
      </c>
      <c r="V31">
        <f>U31*3.412</f>
        <v>3.7999999999999999E-2</v>
      </c>
      <c r="W31" s="12">
        <f t="shared" ref="W31:W40" si="1">1+$J31</f>
        <v>1.03</v>
      </c>
      <c r="Y31" t="str">
        <f t="shared" ref="Y31:Y33" si="2">R31</f>
        <v>Electricity</v>
      </c>
    </row>
    <row r="32" spans="1:25" x14ac:dyDescent="0.35">
      <c r="A32" s="132"/>
      <c r="B32" s="27"/>
      <c r="C32" s="156" t="s">
        <v>353</v>
      </c>
      <c r="D32" s="156"/>
      <c r="E32" s="156"/>
      <c r="F32" s="166">
        <v>17</v>
      </c>
      <c r="G32" s="166"/>
      <c r="H32" s="53" t="s">
        <v>359</v>
      </c>
      <c r="I32" s="128" t="s">
        <v>379</v>
      </c>
      <c r="J32" s="101">
        <v>0.06</v>
      </c>
      <c r="K32" s="157">
        <f>IFERROR(VLOOKUP(C32, 'Emissions Tables'!$J$23:$L$35, 3, FALSE), "")</f>
        <v>0.30211074015940786</v>
      </c>
      <c r="L32" s="157"/>
      <c r="M32" s="53" t="s">
        <v>360</v>
      </c>
      <c r="N32" s="54" t="s">
        <v>147</v>
      </c>
      <c r="O32" s="27"/>
      <c r="P32" s="132"/>
      <c r="R32" t="str">
        <f t="shared" si="0"/>
        <v>District_Steam</v>
      </c>
      <c r="S32" s="10">
        <f>$F32/INDEX('Unit Conversions Array'!$B$4:$Y$23, MATCH('General Project Info'!$C32, 'Unit Conversions Array'!$B$4:$B$23, 0), MATCH('General Project Info'!$I32, 'Unit Conversions Array'!$B$3:$Y$3, 0))</f>
        <v>1.423785594639866E-5</v>
      </c>
      <c r="T32" s="11">
        <f t="shared" ref="T32:T36" si="3">S32*3.412</f>
        <v>4.8579564489112229E-5</v>
      </c>
      <c r="U32">
        <f>$K32/(INDEX('Unit Conversions Array'!$E$4:$Y$23,MATCH('General Project Info'!$C32,'Unit Conversions Array'!$B$4:$B$23,0),MATCH('General Project Info'!$N32,'Unit Conversions Array'!$E$3:$Y$3,0)))</f>
        <v>8.8543593247188704E-2</v>
      </c>
      <c r="V32">
        <f t="shared" ref="V32:V36" si="4">U32*3.412</f>
        <v>0.30211074015940786</v>
      </c>
      <c r="W32" s="12">
        <f t="shared" si="1"/>
        <v>1.06</v>
      </c>
      <c r="Y32" t="str">
        <f t="shared" si="2"/>
        <v>District_Steam</v>
      </c>
    </row>
    <row r="33" spans="1:27" x14ac:dyDescent="0.35">
      <c r="A33" s="132"/>
      <c r="B33" s="27"/>
      <c r="C33" s="156" t="s">
        <v>355</v>
      </c>
      <c r="D33" s="156"/>
      <c r="E33" s="156"/>
      <c r="F33" s="166">
        <v>0.3</v>
      </c>
      <c r="G33" s="166"/>
      <c r="H33" s="53" t="s">
        <v>359</v>
      </c>
      <c r="I33" s="128" t="s">
        <v>380</v>
      </c>
      <c r="J33" s="101">
        <v>0.06</v>
      </c>
      <c r="K33" s="157">
        <f>IFERROR(VLOOKUP(C33, 'Emissions Tables'!$J$23:$L$35, 3, FALSE), "")</f>
        <v>5.8654660304271758E-2</v>
      </c>
      <c r="L33" s="157"/>
      <c r="M33" s="53" t="s">
        <v>360</v>
      </c>
      <c r="N33" s="54" t="s">
        <v>147</v>
      </c>
      <c r="O33" s="27"/>
      <c r="P33" s="132"/>
      <c r="R33" t="str">
        <f t="shared" si="0"/>
        <v>Chilled_Water_Electric_Drive</v>
      </c>
      <c r="S33" s="10">
        <f>$F33/INDEX('Unit Conversions Array'!$B$4:$Y$23, MATCH('General Project Info'!$C33, 'Unit Conversions Array'!$B$4:$B$23, 0), MATCH('General Project Info'!$I33, 'Unit Conversions Array'!$B$3:$Y$3, 0))</f>
        <v>2.4999999999999998E-2</v>
      </c>
      <c r="T33" s="11">
        <f t="shared" si="3"/>
        <v>8.5299999999999987E-2</v>
      </c>
      <c r="U33">
        <f>$K33/(INDEX('Unit Conversions Array'!$E$4:$Y$23,MATCH('General Project Info'!$C33,'Unit Conversions Array'!$B$4:$B$23,0),MATCH('General Project Info'!$N33,'Unit Conversions Array'!$E$3:$Y$3,0)))</f>
        <v>1.7190697627277773E-2</v>
      </c>
      <c r="V33">
        <f t="shared" si="4"/>
        <v>5.8654660304271758E-2</v>
      </c>
      <c r="W33" s="12">
        <f t="shared" si="1"/>
        <v>1.06</v>
      </c>
      <c r="Y33" t="str">
        <f t="shared" si="2"/>
        <v>Chilled_Water_Electric_Drive</v>
      </c>
    </row>
    <row r="34" spans="1:27" x14ac:dyDescent="0.35">
      <c r="A34" s="132"/>
      <c r="B34" s="27"/>
      <c r="C34" s="156" t="s">
        <v>23</v>
      </c>
      <c r="D34" s="156"/>
      <c r="E34" s="156"/>
      <c r="F34" s="166">
        <v>0.01</v>
      </c>
      <c r="G34" s="166" t="s">
        <v>16</v>
      </c>
      <c r="H34" s="53" t="s">
        <v>359</v>
      </c>
      <c r="I34" s="100" t="s">
        <v>147</v>
      </c>
      <c r="J34" s="101">
        <v>0.03</v>
      </c>
      <c r="K34" s="162">
        <f>K31*(-1)</f>
        <v>-3.7999999999999999E-2</v>
      </c>
      <c r="L34" s="162"/>
      <c r="M34" s="53" t="s">
        <v>360</v>
      </c>
      <c r="N34" s="54" t="str">
        <f>N31</f>
        <v>kWh</v>
      </c>
      <c r="O34" s="27"/>
      <c r="P34" s="132"/>
      <c r="R34" t="str">
        <f t="shared" si="0"/>
        <v>RECs</v>
      </c>
      <c r="S34" s="10">
        <f>$F34/INDEX('Unit Conversions Array'!$B$4:$Y$23, MATCH('General Project Info'!$C34, 'Unit Conversions Array'!$B$4:$B$23, 0), MATCH('General Project Info'!$I34, 'Unit Conversions Array'!$B$3:$Y$3, 0))</f>
        <v>2.9308323563892145E-3</v>
      </c>
      <c r="T34" s="11">
        <f t="shared" si="3"/>
        <v>0.01</v>
      </c>
      <c r="U34">
        <f>$K34/(INDEX('Unit Conversions Array'!$E$4:$Y$23,MATCH('General Project Info'!$C34,'Unit Conversions Array'!$B$4:$B$23,0),MATCH('General Project Info'!$N34,'Unit Conversions Array'!$E$3:$Y$3,0)))</f>
        <v>-1.1137162954279016E-2</v>
      </c>
      <c r="V34">
        <f t="shared" si="4"/>
        <v>-3.7999999999999999E-2</v>
      </c>
      <c r="W34" s="12">
        <f t="shared" si="1"/>
        <v>1.03</v>
      </c>
      <c r="Y34" t="str">
        <f>IF(R36&gt;0, R36, "")</f>
        <v/>
      </c>
    </row>
    <row r="35" spans="1:27" x14ac:dyDescent="0.35">
      <c r="A35" s="132"/>
      <c r="B35" s="27"/>
      <c r="C35" s="156" t="s">
        <v>352</v>
      </c>
      <c r="D35" s="156"/>
      <c r="E35" s="156"/>
      <c r="F35" s="166">
        <v>0.02</v>
      </c>
      <c r="G35" s="166"/>
      <c r="H35" s="53" t="s">
        <v>359</v>
      </c>
      <c r="I35" s="100" t="s">
        <v>376</v>
      </c>
      <c r="J35" s="101">
        <v>0.04</v>
      </c>
      <c r="K35" s="167" t="s">
        <v>482</v>
      </c>
      <c r="L35" s="167"/>
      <c r="M35" s="53" t="s">
        <v>360</v>
      </c>
      <c r="N35" s="129" t="s">
        <v>482</v>
      </c>
      <c r="O35" s="27"/>
      <c r="P35" s="132"/>
      <c r="R35" t="str">
        <f t="shared" si="0"/>
        <v>Carbon_Offset</v>
      </c>
      <c r="S35" s="10">
        <f>$F35/INDEX('Unit Conversions Array'!$B$4:$Y$23, MATCH('General Project Info'!$C35, 'Unit Conversions Array'!$B$4:$B$23, 0), MATCH('General Project Info'!$I35, 'Unit Conversions Array'!$B$3:$Y$3, 0))</f>
        <v>0.02</v>
      </c>
      <c r="T35" s="11">
        <f t="shared" si="3"/>
        <v>6.8239999999999995E-2</v>
      </c>
      <c r="U35" t="e">
        <f>$K35/(INDEX('Unit Conversions Array'!$E$4:$Y$23,MATCH('General Project Info'!$C35,'Unit Conversions Array'!$B$4:$B$23,0),MATCH('General Project Info'!$N35,'Unit Conversions Array'!$E$3:$Y$3,0)))</f>
        <v>#VALUE!</v>
      </c>
      <c r="V35" t="e">
        <f t="shared" si="4"/>
        <v>#VALUE!</v>
      </c>
      <c r="W35" s="12">
        <f t="shared" si="1"/>
        <v>1.04</v>
      </c>
      <c r="Y35" t="str">
        <f t="shared" ref="Y35:Y38" si="5">IF(R37&gt;0, R37, "")</f>
        <v/>
      </c>
    </row>
    <row r="36" spans="1:27" x14ac:dyDescent="0.35">
      <c r="A36" s="132"/>
      <c r="B36" s="27"/>
      <c r="C36" s="155"/>
      <c r="D36" s="155"/>
      <c r="E36" s="155"/>
      <c r="F36" s="166"/>
      <c r="G36" s="166"/>
      <c r="H36" s="53" t="s">
        <v>359</v>
      </c>
      <c r="I36" s="100"/>
      <c r="J36" s="101"/>
      <c r="K36" s="157" t="str">
        <f>IFERROR(VLOOKUP(C36, 'Emissions Tables'!$J$23:$L$35, 3, FALSE), "")</f>
        <v/>
      </c>
      <c r="L36" s="157"/>
      <c r="M36" s="53" t="s">
        <v>360</v>
      </c>
      <c r="N36" s="54" t="str">
        <f>IF(C36&gt;0, "kWh", "")</f>
        <v/>
      </c>
      <c r="O36" s="27"/>
      <c r="P36" s="132"/>
      <c r="R36">
        <f t="shared" si="0"/>
        <v>0</v>
      </c>
      <c r="S36" s="10" t="e">
        <f>$F36/INDEX('Unit Conversions Array'!$B$4:$Y$23, MATCH('General Project Info'!$C36, 'Unit Conversions Array'!$B$4:$B$23, 0), MATCH('General Project Info'!$I36, 'Unit Conversions Array'!$B$3:$Y$3, 0))</f>
        <v>#N/A</v>
      </c>
      <c r="T36" s="11" t="e">
        <f t="shared" si="3"/>
        <v>#N/A</v>
      </c>
      <c r="U36" t="e">
        <f>$K36/(INDEX('Unit Conversions Array'!$E$4:$Y$23,MATCH('General Project Info'!$C36,'Unit Conversions Array'!$B$4:$B$23,0),MATCH('General Project Info'!$N36,'Unit Conversions Array'!$E$3:$Y$3,0)))</f>
        <v>#VALUE!</v>
      </c>
      <c r="V36" t="e">
        <f t="shared" si="4"/>
        <v>#VALUE!</v>
      </c>
      <c r="W36" s="12">
        <f t="shared" si="1"/>
        <v>1</v>
      </c>
      <c r="Y36" t="str">
        <f t="shared" si="5"/>
        <v/>
      </c>
    </row>
    <row r="37" spans="1:27" x14ac:dyDescent="0.35">
      <c r="A37" s="132"/>
      <c r="B37" s="27"/>
      <c r="C37" s="155"/>
      <c r="D37" s="155"/>
      <c r="E37" s="155"/>
      <c r="F37" s="166"/>
      <c r="G37" s="166"/>
      <c r="H37" s="53" t="s">
        <v>359</v>
      </c>
      <c r="I37" s="100"/>
      <c r="J37" s="101"/>
      <c r="K37" s="157" t="str">
        <f>IFERROR(VLOOKUP(C37, 'Emissions Tables'!$J$23:$L$35, 3, FALSE), "")</f>
        <v/>
      </c>
      <c r="L37" s="157"/>
      <c r="M37" s="53" t="s">
        <v>360</v>
      </c>
      <c r="N37" s="54" t="str">
        <f t="shared" ref="N37:N40" si="6">IF(C37&gt;0, "kWh", "")</f>
        <v/>
      </c>
      <c r="O37" s="27"/>
      <c r="P37" s="132"/>
      <c r="R37">
        <f t="shared" si="0"/>
        <v>0</v>
      </c>
      <c r="S37" s="10" t="e">
        <f>$F37/INDEX('Unit Conversions Array'!$B$4:$Y$23, MATCH('General Project Info'!$C37, 'Unit Conversions Array'!$B$4:$B$23, 0), MATCH('General Project Info'!$I37, 'Unit Conversions Array'!$B$3:$Y$3, 0))</f>
        <v>#N/A</v>
      </c>
      <c r="T37" s="11" t="e">
        <f t="shared" ref="T37:T40" si="7">S37*3.412</f>
        <v>#N/A</v>
      </c>
      <c r="U37" t="e">
        <f>$K37/(INDEX('Unit Conversions Array'!$E$4:$Y$23,MATCH('General Project Info'!$C37,'Unit Conversions Array'!$B$4:$B$23,0),MATCH('General Project Info'!$N37,'Unit Conversions Array'!$E$3:$Y$3,0)))</f>
        <v>#VALUE!</v>
      </c>
      <c r="V37" t="e">
        <f t="shared" ref="V37:V40" si="8">U37*3.412</f>
        <v>#VALUE!</v>
      </c>
      <c r="W37" s="12">
        <f t="shared" si="1"/>
        <v>1</v>
      </c>
      <c r="Y37" t="str">
        <f t="shared" si="5"/>
        <v/>
      </c>
    </row>
    <row r="38" spans="1:27" x14ac:dyDescent="0.35">
      <c r="A38" s="132"/>
      <c r="B38" s="27"/>
      <c r="C38" s="155"/>
      <c r="D38" s="155"/>
      <c r="E38" s="155"/>
      <c r="F38" s="166"/>
      <c r="G38" s="166"/>
      <c r="H38" s="53" t="s">
        <v>359</v>
      </c>
      <c r="I38" s="100"/>
      <c r="J38" s="101"/>
      <c r="K38" s="157" t="str">
        <f>IFERROR(VLOOKUP(C38, 'Emissions Tables'!$J$23:$L$35, 3, FALSE), "")</f>
        <v/>
      </c>
      <c r="L38" s="157"/>
      <c r="M38" s="53" t="s">
        <v>360</v>
      </c>
      <c r="N38" s="54" t="str">
        <f t="shared" si="6"/>
        <v/>
      </c>
      <c r="O38" s="27"/>
      <c r="P38" s="132"/>
      <c r="R38">
        <f t="shared" si="0"/>
        <v>0</v>
      </c>
      <c r="S38" s="10" t="e">
        <f>$F38/INDEX('Unit Conversions Array'!$B$4:$Y$23, MATCH('General Project Info'!$C38, 'Unit Conversions Array'!$B$4:$B$23, 0), MATCH('General Project Info'!$I38, 'Unit Conversions Array'!$B$3:$Y$3, 0))</f>
        <v>#N/A</v>
      </c>
      <c r="T38" s="11" t="e">
        <f t="shared" si="7"/>
        <v>#N/A</v>
      </c>
      <c r="U38" t="e">
        <f>$K38/(INDEX('Unit Conversions Array'!$E$4:$Y$23,MATCH('General Project Info'!$C38,'Unit Conversions Array'!$B$4:$B$23,0),MATCH('General Project Info'!$N38,'Unit Conversions Array'!$E$3:$Y$3,0)))</f>
        <v>#VALUE!</v>
      </c>
      <c r="V38" t="e">
        <f t="shared" si="8"/>
        <v>#VALUE!</v>
      </c>
      <c r="W38" s="12">
        <f t="shared" si="1"/>
        <v>1</v>
      </c>
      <c r="Y38" t="str">
        <f t="shared" si="5"/>
        <v/>
      </c>
    </row>
    <row r="39" spans="1:27" x14ac:dyDescent="0.35">
      <c r="A39" s="132"/>
      <c r="B39" s="27"/>
      <c r="C39" s="155"/>
      <c r="D39" s="155"/>
      <c r="E39" s="155"/>
      <c r="F39" s="166"/>
      <c r="G39" s="166"/>
      <c r="H39" s="53" t="s">
        <v>359</v>
      </c>
      <c r="I39" s="100"/>
      <c r="J39" s="101"/>
      <c r="K39" s="157" t="str">
        <f>IFERROR(VLOOKUP(C39, 'Emissions Tables'!$J$23:$L$35, 3, FALSE), "")</f>
        <v/>
      </c>
      <c r="L39" s="157"/>
      <c r="M39" s="53" t="s">
        <v>360</v>
      </c>
      <c r="N39" s="54" t="str">
        <f t="shared" si="6"/>
        <v/>
      </c>
      <c r="O39" s="27"/>
      <c r="P39" s="132"/>
      <c r="R39">
        <f t="shared" si="0"/>
        <v>0</v>
      </c>
      <c r="S39" s="10" t="e">
        <f>$F39/INDEX('Unit Conversions Array'!$B$4:$Y$23, MATCH('General Project Info'!$C39, 'Unit Conversions Array'!$B$4:$B$23, 0), MATCH('General Project Info'!$I39, 'Unit Conversions Array'!$B$3:$Y$3, 0))</f>
        <v>#N/A</v>
      </c>
      <c r="T39" s="11" t="e">
        <f t="shared" si="7"/>
        <v>#N/A</v>
      </c>
      <c r="U39" t="e">
        <f>$K39/(INDEX('Unit Conversions Array'!$E$4:$Y$23,MATCH('General Project Info'!$C39,'Unit Conversions Array'!$B$4:$B$23,0),MATCH('General Project Info'!$N39,'Unit Conversions Array'!$E$3:$Y$3,0)))</f>
        <v>#VALUE!</v>
      </c>
      <c r="V39" t="e">
        <f t="shared" si="8"/>
        <v>#VALUE!</v>
      </c>
      <c r="W39" s="12">
        <f t="shared" si="1"/>
        <v>1</v>
      </c>
    </row>
    <row r="40" spans="1:27" x14ac:dyDescent="0.35">
      <c r="A40" s="132"/>
      <c r="B40" s="27"/>
      <c r="C40" s="155"/>
      <c r="D40" s="155"/>
      <c r="E40" s="155"/>
      <c r="F40" s="166"/>
      <c r="G40" s="166"/>
      <c r="H40" s="53" t="s">
        <v>359</v>
      </c>
      <c r="I40" s="128"/>
      <c r="J40" s="101"/>
      <c r="K40" s="157" t="str">
        <f>IFERROR(VLOOKUP(C40, 'Emissions Tables'!$J$23:$L$35, 3, FALSE), "")</f>
        <v/>
      </c>
      <c r="L40" s="157"/>
      <c r="M40" s="53" t="s">
        <v>360</v>
      </c>
      <c r="N40" s="54" t="str">
        <f t="shared" si="6"/>
        <v/>
      </c>
      <c r="O40" s="27"/>
      <c r="P40" s="132"/>
      <c r="R40">
        <f t="shared" si="0"/>
        <v>0</v>
      </c>
      <c r="S40" s="10" t="e">
        <f>$F40/INDEX('Unit Conversions Array'!$B$4:$Y$23, MATCH('General Project Info'!$C40, 'Unit Conversions Array'!$B$4:$B$23, 0), MATCH('General Project Info'!$I40, 'Unit Conversions Array'!$B$3:$Y$3, 0))</f>
        <v>#N/A</v>
      </c>
      <c r="T40" s="11" t="e">
        <f t="shared" si="7"/>
        <v>#N/A</v>
      </c>
      <c r="U40" t="e">
        <f>$K40/(INDEX('Unit Conversions Array'!$E$4:$Y$23,MATCH('General Project Info'!$C40,'Unit Conversions Array'!$B$4:$B$23,0),MATCH('General Project Info'!$N40,'Unit Conversions Array'!$E$3:$Y$3,0)))</f>
        <v>#VALUE!</v>
      </c>
      <c r="V40" t="e">
        <f t="shared" si="8"/>
        <v>#VALUE!</v>
      </c>
      <c r="W40" s="12">
        <f t="shared" si="1"/>
        <v>1</v>
      </c>
    </row>
    <row r="41" spans="1:27" x14ac:dyDescent="0.35">
      <c r="A41" s="132"/>
      <c r="B41" s="27"/>
      <c r="C41" s="27"/>
      <c r="D41" s="27"/>
      <c r="E41" s="27"/>
      <c r="F41" s="27"/>
      <c r="G41" s="27"/>
      <c r="H41" s="27"/>
      <c r="I41" s="27"/>
      <c r="J41" s="27"/>
      <c r="K41" s="27"/>
      <c r="L41" s="27"/>
      <c r="M41" s="27"/>
      <c r="N41" s="27"/>
      <c r="O41" s="27"/>
      <c r="P41" s="132"/>
    </row>
    <row r="42" spans="1:27" ht="30" customHeight="1" x14ac:dyDescent="0.35">
      <c r="A42" s="132"/>
      <c r="B42" s="27"/>
      <c r="C42" s="27"/>
      <c r="D42" s="27"/>
      <c r="E42" s="27"/>
      <c r="F42" s="27"/>
      <c r="G42" s="27"/>
      <c r="H42" s="27"/>
      <c r="I42" s="27"/>
      <c r="J42" s="27"/>
      <c r="K42" s="27"/>
      <c r="L42" s="27"/>
      <c r="M42" s="127"/>
      <c r="N42" s="27"/>
      <c r="O42" s="27"/>
      <c r="P42" s="132"/>
    </row>
    <row r="43" spans="1:27" x14ac:dyDescent="0.35">
      <c r="A43" s="132"/>
      <c r="B43" s="132"/>
      <c r="C43" s="132"/>
      <c r="D43" s="132"/>
      <c r="E43" s="132"/>
      <c r="F43" s="132"/>
      <c r="G43" s="132"/>
      <c r="H43" s="132"/>
      <c r="I43" s="132"/>
      <c r="J43" s="132"/>
      <c r="K43" s="132"/>
      <c r="L43" s="132"/>
      <c r="M43" s="132"/>
      <c r="N43" s="132"/>
      <c r="O43" s="132"/>
      <c r="P43" s="132"/>
    </row>
    <row r="44" spans="1:27" x14ac:dyDescent="0.35">
      <c r="R44" t="s">
        <v>73</v>
      </c>
      <c r="S44" t="s">
        <v>327</v>
      </c>
      <c r="T44" t="s">
        <v>334</v>
      </c>
      <c r="U44" t="s">
        <v>81</v>
      </c>
      <c r="V44" t="s">
        <v>83</v>
      </c>
      <c r="W44" t="s">
        <v>361</v>
      </c>
      <c r="X44" t="s">
        <v>91</v>
      </c>
      <c r="Y44" t="s">
        <v>75</v>
      </c>
      <c r="Z44" t="s">
        <v>362</v>
      </c>
      <c r="AA44" t="s">
        <v>363</v>
      </c>
    </row>
    <row r="45" spans="1:27" x14ac:dyDescent="0.35">
      <c r="R45" t="s">
        <v>58</v>
      </c>
      <c r="S45" t="s">
        <v>365</v>
      </c>
      <c r="T45" t="s">
        <v>364</v>
      </c>
      <c r="U45" t="s">
        <v>91</v>
      </c>
      <c r="V45" t="s">
        <v>75</v>
      </c>
      <c r="W45" t="s">
        <v>375</v>
      </c>
      <c r="X45" t="s">
        <v>362</v>
      </c>
    </row>
    <row r="46" spans="1:27" x14ac:dyDescent="0.35">
      <c r="R46" t="s">
        <v>60</v>
      </c>
      <c r="S46" t="s">
        <v>365</v>
      </c>
      <c r="T46" t="s">
        <v>364</v>
      </c>
      <c r="U46" t="s">
        <v>91</v>
      </c>
      <c r="V46" t="s">
        <v>75</v>
      </c>
      <c r="W46" t="s">
        <v>375</v>
      </c>
      <c r="X46" t="s">
        <v>362</v>
      </c>
    </row>
    <row r="47" spans="1:27" x14ac:dyDescent="0.35">
      <c r="R47" t="s">
        <v>62</v>
      </c>
      <c r="S47" t="s">
        <v>365</v>
      </c>
      <c r="T47" t="s">
        <v>364</v>
      </c>
      <c r="U47" t="s">
        <v>91</v>
      </c>
      <c r="V47" t="s">
        <v>75</v>
      </c>
      <c r="W47" t="s">
        <v>375</v>
      </c>
      <c r="X47" t="s">
        <v>362</v>
      </c>
    </row>
    <row r="48" spans="1:27" x14ac:dyDescent="0.35">
      <c r="R48" t="s">
        <v>64</v>
      </c>
      <c r="S48" t="s">
        <v>365</v>
      </c>
      <c r="T48" t="s">
        <v>364</v>
      </c>
      <c r="U48" t="s">
        <v>91</v>
      </c>
      <c r="V48" t="s">
        <v>75</v>
      </c>
      <c r="W48" t="s">
        <v>375</v>
      </c>
      <c r="X48" t="s">
        <v>362</v>
      </c>
    </row>
    <row r="49" spans="18:27" x14ac:dyDescent="0.35">
      <c r="R49" t="s">
        <v>66</v>
      </c>
      <c r="S49" t="s">
        <v>365</v>
      </c>
      <c r="T49" t="s">
        <v>364</v>
      </c>
      <c r="U49" t="s">
        <v>91</v>
      </c>
      <c r="V49" t="s">
        <v>75</v>
      </c>
      <c r="W49" t="s">
        <v>375</v>
      </c>
      <c r="X49" t="s">
        <v>362</v>
      </c>
    </row>
    <row r="50" spans="18:27" x14ac:dyDescent="0.35">
      <c r="R50" t="s">
        <v>68</v>
      </c>
      <c r="S50" t="s">
        <v>365</v>
      </c>
      <c r="T50" t="s">
        <v>364</v>
      </c>
      <c r="U50" t="s">
        <v>91</v>
      </c>
      <c r="V50" t="s">
        <v>75</v>
      </c>
      <c r="W50" t="s">
        <v>375</v>
      </c>
      <c r="X50" t="s">
        <v>362</v>
      </c>
    </row>
    <row r="51" spans="18:27" x14ac:dyDescent="0.35">
      <c r="R51" t="s">
        <v>56</v>
      </c>
      <c r="S51" t="s">
        <v>334</v>
      </c>
      <c r="T51" t="s">
        <v>81</v>
      </c>
      <c r="U51" t="s">
        <v>365</v>
      </c>
      <c r="V51" t="s">
        <v>364</v>
      </c>
      <c r="W51" t="s">
        <v>91</v>
      </c>
      <c r="X51" t="s">
        <v>75</v>
      </c>
      <c r="Y51" t="s">
        <v>375</v>
      </c>
      <c r="Z51" t="s">
        <v>77</v>
      </c>
    </row>
    <row r="52" spans="18:27" x14ac:dyDescent="0.35">
      <c r="R52" t="s">
        <v>15</v>
      </c>
      <c r="S52" t="s">
        <v>147</v>
      </c>
      <c r="T52" t="s">
        <v>149</v>
      </c>
      <c r="U52" t="s">
        <v>91</v>
      </c>
      <c r="V52" t="s">
        <v>75</v>
      </c>
      <c r="W52" t="s">
        <v>77</v>
      </c>
    </row>
    <row r="53" spans="18:27" x14ac:dyDescent="0.35">
      <c r="R53" t="s">
        <v>23</v>
      </c>
      <c r="S53" t="s">
        <v>147</v>
      </c>
      <c r="T53" t="s">
        <v>149</v>
      </c>
      <c r="U53" t="s">
        <v>91</v>
      </c>
      <c r="V53" t="s">
        <v>75</v>
      </c>
      <c r="W53" t="s">
        <v>77</v>
      </c>
    </row>
    <row r="54" spans="18:27" x14ac:dyDescent="0.35">
      <c r="R54" t="s">
        <v>30</v>
      </c>
      <c r="S54" t="s">
        <v>376</v>
      </c>
      <c r="T54" t="s">
        <v>481</v>
      </c>
    </row>
    <row r="55" spans="18:27" x14ac:dyDescent="0.35">
      <c r="R55" t="s">
        <v>21</v>
      </c>
      <c r="S55" t="s">
        <v>91</v>
      </c>
      <c r="T55" t="s">
        <v>75</v>
      </c>
      <c r="U55" t="s">
        <v>77</v>
      </c>
      <c r="V55" t="s">
        <v>363</v>
      </c>
      <c r="W55" t="s">
        <v>164</v>
      </c>
      <c r="X55" t="s">
        <v>377</v>
      </c>
      <c r="Y55" t="s">
        <v>378</v>
      </c>
      <c r="Z55" t="s">
        <v>379</v>
      </c>
    </row>
    <row r="56" spans="18:27" x14ac:dyDescent="0.35">
      <c r="R56" t="s">
        <v>46</v>
      </c>
      <c r="S56" t="s">
        <v>91</v>
      </c>
      <c r="T56" t="s">
        <v>75</v>
      </c>
      <c r="U56" t="s">
        <v>77</v>
      </c>
      <c r="V56" t="s">
        <v>363</v>
      </c>
    </row>
    <row r="57" spans="18:27" x14ac:dyDescent="0.35">
      <c r="R57" t="s">
        <v>48</v>
      </c>
      <c r="S57" t="s">
        <v>91</v>
      </c>
      <c r="T57" t="s">
        <v>75</v>
      </c>
      <c r="U57" t="s">
        <v>77</v>
      </c>
      <c r="V57" t="s">
        <v>380</v>
      </c>
    </row>
    <row r="58" spans="18:27" x14ac:dyDescent="0.35">
      <c r="R58" t="s">
        <v>50</v>
      </c>
      <c r="S58" t="s">
        <v>91</v>
      </c>
      <c r="T58" t="s">
        <v>75</v>
      </c>
      <c r="U58" t="s">
        <v>77</v>
      </c>
      <c r="V58" t="s">
        <v>380</v>
      </c>
    </row>
    <row r="59" spans="18:27" x14ac:dyDescent="0.35">
      <c r="R59" t="s">
        <v>52</v>
      </c>
      <c r="S59" t="s">
        <v>91</v>
      </c>
      <c r="T59" t="s">
        <v>75</v>
      </c>
      <c r="U59" t="s">
        <v>77</v>
      </c>
      <c r="V59" t="s">
        <v>380</v>
      </c>
    </row>
    <row r="60" spans="18:27" x14ac:dyDescent="0.35">
      <c r="R60" t="s">
        <v>187</v>
      </c>
      <c r="S60" t="s">
        <v>91</v>
      </c>
      <c r="T60" t="s">
        <v>75</v>
      </c>
      <c r="U60" t="s">
        <v>77</v>
      </c>
      <c r="V60" t="s">
        <v>381</v>
      </c>
      <c r="W60" t="s">
        <v>382</v>
      </c>
    </row>
    <row r="61" spans="18:27" x14ac:dyDescent="0.35">
      <c r="R61" t="s">
        <v>195</v>
      </c>
      <c r="S61" t="s">
        <v>147</v>
      </c>
      <c r="T61" t="s">
        <v>149</v>
      </c>
      <c r="U61" t="s">
        <v>91</v>
      </c>
      <c r="V61" t="s">
        <v>75</v>
      </c>
      <c r="W61" t="s">
        <v>77</v>
      </c>
    </row>
    <row r="62" spans="18:27" x14ac:dyDescent="0.35">
      <c r="R62" t="s">
        <v>17</v>
      </c>
      <c r="S62" t="s">
        <v>147</v>
      </c>
      <c r="T62" t="s">
        <v>91</v>
      </c>
      <c r="U62" t="s">
        <v>75</v>
      </c>
      <c r="V62" t="s">
        <v>77</v>
      </c>
    </row>
    <row r="63" spans="18:27" x14ac:dyDescent="0.35">
      <c r="R63" t="s">
        <v>205</v>
      </c>
      <c r="S63" t="s">
        <v>327</v>
      </c>
      <c r="T63" t="s">
        <v>334</v>
      </c>
      <c r="U63" t="s">
        <v>81</v>
      </c>
      <c r="V63" t="s">
        <v>83</v>
      </c>
      <c r="W63" t="s">
        <v>361</v>
      </c>
      <c r="X63" t="s">
        <v>91</v>
      </c>
      <c r="Y63" t="s">
        <v>75</v>
      </c>
      <c r="Z63" t="s">
        <v>362</v>
      </c>
      <c r="AA63" t="s">
        <v>363</v>
      </c>
    </row>
  </sheetData>
  <sheetProtection algorithmName="SHA-512" hashValue="azmg914Cg/a3CLUVJ5hq/X2W1HI+TJSx6lEJEzwbEXLDp+mR3hSg4q3mbzapCUZKEZqgCNFEjw7gz45NheQQng==" saltValue="mLF11gyMT9Mk5cNaU61jtw==" spinCount="100000" sheet="1" objects="1" scenarios="1"/>
  <dataConsolidate/>
  <mergeCells count="44">
    <mergeCell ref="B2:O8"/>
    <mergeCell ref="K35:L35"/>
    <mergeCell ref="K36:L36"/>
    <mergeCell ref="K39:L39"/>
    <mergeCell ref="K40:L40"/>
    <mergeCell ref="F35:G35"/>
    <mergeCell ref="F36:G36"/>
    <mergeCell ref="F39:G39"/>
    <mergeCell ref="F40:G40"/>
    <mergeCell ref="F37:G37"/>
    <mergeCell ref="K37:L37"/>
    <mergeCell ref="F38:G38"/>
    <mergeCell ref="K38:L38"/>
    <mergeCell ref="K33:L33"/>
    <mergeCell ref="K34:L34"/>
    <mergeCell ref="K30:L30"/>
    <mergeCell ref="F34:G34"/>
    <mergeCell ref="F30:G30"/>
    <mergeCell ref="F31:G31"/>
    <mergeCell ref="F32:G32"/>
    <mergeCell ref="F33:G33"/>
    <mergeCell ref="K32:L32"/>
    <mergeCell ref="D12:N12"/>
    <mergeCell ref="D16:E16"/>
    <mergeCell ref="C29:E29"/>
    <mergeCell ref="K29:L29"/>
    <mergeCell ref="F29:G29"/>
    <mergeCell ref="C30:E30"/>
    <mergeCell ref="C31:E31"/>
    <mergeCell ref="C32:E32"/>
    <mergeCell ref="K31:L31"/>
    <mergeCell ref="M14:N15"/>
    <mergeCell ref="C20:E20"/>
    <mergeCell ref="C22:E22"/>
    <mergeCell ref="C24:E24"/>
    <mergeCell ref="D14:F14"/>
    <mergeCell ref="C38:E38"/>
    <mergeCell ref="C39:E39"/>
    <mergeCell ref="C40:E40"/>
    <mergeCell ref="C33:E33"/>
    <mergeCell ref="C34:E34"/>
    <mergeCell ref="C35:E35"/>
    <mergeCell ref="C36:E36"/>
    <mergeCell ref="C37:E37"/>
  </mergeCells>
  <dataValidations count="7">
    <dataValidation type="whole" allowBlank="1" showInputMessage="1" showErrorMessage="1" sqref="F20" xr:uid="{50B5BFFA-86FB-454E-9746-25381DD9352C}">
      <formula1>0</formula1>
      <formula2>100</formula2>
    </dataValidation>
    <dataValidation type="list" allowBlank="1" showInputMessage="1" showErrorMessage="1" sqref="I30:I40" xr:uid="{D8E18164-A76A-474F-83FB-3D1A5257A5C5}">
      <formula1>INDIRECT($C30)</formula1>
    </dataValidation>
    <dataValidation type="list" allowBlank="1" showInputMessage="1" showErrorMessage="1" sqref="U18" xr:uid="{D44B82EC-8C08-4E6C-B015-807882AA88EA}">
      <formula1>CONCATENATE("$/", INDIRECT($T$18))</formula1>
    </dataValidation>
    <dataValidation showInputMessage="1" showErrorMessage="1" sqref="N30:N40" xr:uid="{77D7C80B-7FFC-4CF9-B2E9-67F54AEC94AA}"/>
    <dataValidation type="list" allowBlank="1" showInputMessage="1" showErrorMessage="1" sqref="L22" xr:uid="{13A91F5B-71D2-4C87-86B5-081F36B1A511}">
      <formula1>$R$23:$R$24</formula1>
    </dataValidation>
    <dataValidation type="list" allowBlank="1" showInputMessage="1" showErrorMessage="1" sqref="I16" xr:uid="{5962A89B-938B-410A-8307-EBE0B8EC6B3F}">
      <formula1>$R$15:$R$16</formula1>
    </dataValidation>
    <dataValidation type="list" allowBlank="1" showInputMessage="1" showErrorMessage="1" sqref="N16" xr:uid="{792AD832-EADB-4397-B7C0-7A65A1D7A332}">
      <formula1>$R$20:$R$21</formula1>
    </dataValidation>
  </dataValidations>
  <pageMargins left="0.7" right="0.7" top="0.75" bottom="0.75" header="0.3" footer="0.3"/>
  <pageSetup orientation="portrait" horizontalDpi="300" verticalDpi="300" r:id="rId1"/>
  <ignoredErrors>
    <ignoredError sqref="K30:L30 K32:L32 L35 K33:K34 L36 K37:L40 K36 L34 L31"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7B418BB8-9960-4E09-B2DB-EC689A040028}">
          <x14:formula1>
            <xm:f>'Emissions Tables'!$B$4:$B$16</xm:f>
          </x14:formula1>
          <xm:sqref>D16:E16</xm:sqref>
        </x14:dataValidation>
        <x14:dataValidation type="list" allowBlank="1" showInputMessage="1" showErrorMessage="1" xr:uid="{1276552E-EDF0-4678-9B29-413516FAE645}">
          <x14:formula1>
            <xm:f>'Unit Conversions'!$Q$2:$Q$15</xm:f>
          </x14:formula1>
          <xm:sqref>C36:E40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EC592-59D8-420F-967A-C8C2124008F9}">
  <dimension ref="A1:MJ112"/>
  <sheetViews>
    <sheetView showGridLines="0" showRowColHeaders="0" zoomScaleNormal="100" workbookViewId="0"/>
  </sheetViews>
  <sheetFormatPr defaultRowHeight="14.5" x14ac:dyDescent="0.35"/>
  <cols>
    <col min="1" max="2" width="3.1796875" customWidth="1"/>
    <col min="3" max="3" width="10.453125" bestFit="1" customWidth="1"/>
    <col min="4" max="4" width="21.26953125" customWidth="1"/>
    <col min="5" max="5" width="12.81640625" customWidth="1"/>
    <col min="6" max="6" width="16.453125" bestFit="1" customWidth="1"/>
    <col min="7" max="7" width="7.1796875" bestFit="1" customWidth="1"/>
    <col min="8" max="8" width="12" bestFit="1" customWidth="1"/>
    <col min="9" max="9" width="18.1796875" bestFit="1" customWidth="1"/>
    <col min="10" max="10" width="18.26953125" bestFit="1" customWidth="1"/>
    <col min="11" max="11" width="10.453125" bestFit="1" customWidth="1"/>
    <col min="12" max="12" width="11.1796875" customWidth="1"/>
    <col min="13" max="13" width="11.54296875" bestFit="1" customWidth="1"/>
    <col min="14" max="14" width="11.81640625" bestFit="1" customWidth="1"/>
    <col min="15" max="15" width="12.26953125" customWidth="1"/>
    <col min="16" max="16" width="11.81640625" hidden="1" customWidth="1"/>
    <col min="17" max="18" width="3.1796875" customWidth="1"/>
    <col min="19" max="19" width="3.81640625" customWidth="1"/>
    <col min="20" max="20" width="18.54296875" hidden="1" customWidth="1"/>
    <col min="21" max="21" width="12.81640625" hidden="1" customWidth="1"/>
    <col min="22" max="22" width="22.26953125" hidden="1" customWidth="1"/>
    <col min="23" max="23" width="17.453125" hidden="1" customWidth="1"/>
    <col min="24" max="24" width="14.54296875" hidden="1" customWidth="1"/>
    <col min="25" max="25" width="21.7265625" hidden="1" customWidth="1"/>
    <col min="26" max="26" width="26.26953125" hidden="1" customWidth="1"/>
    <col min="27" max="27" width="25.81640625" hidden="1" customWidth="1"/>
    <col min="28" max="28" width="21.1796875" hidden="1" customWidth="1"/>
    <col min="29" max="29" width="24.7265625" hidden="1" customWidth="1"/>
    <col min="30" max="30" width="9.7265625" hidden="1" customWidth="1"/>
    <col min="31" max="31" width="23" hidden="1" customWidth="1"/>
    <col min="32" max="32" width="26.26953125" hidden="1" customWidth="1"/>
    <col min="33" max="33" width="32.453125" hidden="1" customWidth="1"/>
    <col min="34" max="34" width="21" hidden="1" customWidth="1"/>
    <col min="35" max="35" width="17.54296875" hidden="1" customWidth="1"/>
    <col min="36" max="36" width="22.26953125" hidden="1" customWidth="1"/>
    <col min="37" max="37" width="26.7265625" hidden="1" customWidth="1"/>
    <col min="38" max="38" width="9.7265625" hidden="1" customWidth="1"/>
    <col min="39" max="39" width="17.54296875" hidden="1" customWidth="1"/>
    <col min="40" max="40" width="13.1796875" hidden="1" customWidth="1"/>
    <col min="41" max="51" width="12" hidden="1" customWidth="1"/>
    <col min="52" max="53" width="11" hidden="1" customWidth="1"/>
    <col min="54" max="69" width="12" hidden="1" customWidth="1"/>
    <col min="70" max="70" width="11" hidden="1" customWidth="1"/>
    <col min="71" max="73" width="12" hidden="1" customWidth="1"/>
    <col min="74" max="74" width="10" hidden="1" customWidth="1"/>
    <col min="75" max="89" width="12" hidden="1" customWidth="1"/>
    <col min="90" max="90" width="11" hidden="1" customWidth="1"/>
    <col min="91" max="91" width="12" hidden="1" customWidth="1"/>
    <col min="92" max="92" width="10" hidden="1" customWidth="1"/>
    <col min="93" max="96" width="12" hidden="1" customWidth="1"/>
    <col min="97" max="97" width="11" hidden="1" customWidth="1"/>
    <col min="98" max="99" width="12" hidden="1" customWidth="1"/>
    <col min="100" max="100" width="11" hidden="1" customWidth="1"/>
    <col min="101" max="108" width="12" hidden="1" customWidth="1"/>
    <col min="109" max="109" width="11" hidden="1" customWidth="1"/>
    <col min="110" max="115" width="12" hidden="1" customWidth="1"/>
    <col min="116" max="116" width="11" hidden="1" customWidth="1"/>
    <col min="117" max="118" width="12" hidden="1" customWidth="1"/>
    <col min="119" max="119" width="11" hidden="1" customWidth="1"/>
    <col min="120" max="120" width="12" hidden="1" customWidth="1"/>
    <col min="121" max="121" width="10" hidden="1" customWidth="1"/>
    <col min="122" max="126" width="12" hidden="1" customWidth="1"/>
    <col min="127" max="127" width="11" hidden="1" customWidth="1"/>
    <col min="128" max="132" width="12" hidden="1" customWidth="1"/>
    <col min="133" max="133" width="11" hidden="1" customWidth="1"/>
    <col min="134" max="135" width="12" hidden="1" customWidth="1"/>
    <col min="136" max="136" width="11" hidden="1" customWidth="1"/>
    <col min="137" max="137" width="12" hidden="1" customWidth="1"/>
    <col min="138" max="138" width="11" hidden="1" customWidth="1"/>
    <col min="139" max="139" width="12" hidden="1" customWidth="1"/>
    <col min="140" max="140" width="11" hidden="1" customWidth="1"/>
    <col min="141" max="344" width="9.1796875" customWidth="1"/>
  </cols>
  <sheetData>
    <row r="1" spans="1:348" x14ac:dyDescent="0.35">
      <c r="A1" s="132"/>
      <c r="B1" s="132"/>
      <c r="C1" s="132"/>
      <c r="D1" s="132"/>
      <c r="E1" s="132"/>
      <c r="F1" s="132"/>
      <c r="G1" s="132"/>
      <c r="H1" s="132"/>
      <c r="I1" s="132"/>
      <c r="J1" s="132"/>
      <c r="K1" s="132"/>
      <c r="L1" s="132"/>
      <c r="M1" s="132"/>
      <c r="N1" s="132"/>
      <c r="O1" s="132"/>
      <c r="P1" s="132"/>
      <c r="Q1" s="132"/>
      <c r="R1" s="132"/>
      <c r="T1" s="118" t="s">
        <v>477</v>
      </c>
      <c r="EJ1" s="118" t="s">
        <v>477</v>
      </c>
    </row>
    <row r="2" spans="1:348" ht="14.65" customHeight="1" x14ac:dyDescent="0.35">
      <c r="A2" s="132"/>
      <c r="B2" s="62"/>
      <c r="C2" s="62"/>
      <c r="D2" s="62"/>
      <c r="E2" s="62"/>
      <c r="F2" s="62"/>
      <c r="G2" s="62"/>
      <c r="H2" s="62"/>
      <c r="I2" s="151" t="s">
        <v>484</v>
      </c>
      <c r="J2" s="151"/>
      <c r="K2" s="151"/>
      <c r="L2" s="151"/>
      <c r="M2" s="151"/>
      <c r="N2" s="151"/>
      <c r="O2" s="151"/>
      <c r="P2" s="151"/>
      <c r="Q2" s="151"/>
      <c r="R2" s="132"/>
    </row>
    <row r="3" spans="1:348" ht="14.65" customHeight="1" x14ac:dyDescent="0.35">
      <c r="A3" s="132"/>
      <c r="B3" s="62"/>
      <c r="C3" s="62"/>
      <c r="D3" s="62"/>
      <c r="E3" s="62"/>
      <c r="F3" s="62"/>
      <c r="G3" s="62"/>
      <c r="H3" s="62"/>
      <c r="I3" s="151"/>
      <c r="J3" s="151"/>
      <c r="K3" s="151"/>
      <c r="L3" s="151"/>
      <c r="M3" s="151"/>
      <c r="N3" s="151"/>
      <c r="O3" s="151"/>
      <c r="P3" s="151"/>
      <c r="Q3" s="151"/>
      <c r="R3" s="132"/>
    </row>
    <row r="4" spans="1:348" ht="14.65" customHeight="1" x14ac:dyDescent="0.35">
      <c r="A4" s="132"/>
      <c r="B4" s="62"/>
      <c r="C4" s="62"/>
      <c r="D4" s="62"/>
      <c r="E4" s="62"/>
      <c r="F4" s="62"/>
      <c r="G4" s="62"/>
      <c r="H4" s="62"/>
      <c r="I4" s="151"/>
      <c r="J4" s="151"/>
      <c r="K4" s="151"/>
      <c r="L4" s="151"/>
      <c r="M4" s="151"/>
      <c r="N4" s="151"/>
      <c r="O4" s="151"/>
      <c r="P4" s="151"/>
      <c r="Q4" s="151"/>
      <c r="R4" s="132"/>
    </row>
    <row r="5" spans="1:348" ht="14.65" customHeight="1" x14ac:dyDescent="0.35">
      <c r="A5" s="132"/>
      <c r="B5" s="62"/>
      <c r="C5" s="62"/>
      <c r="D5" s="62"/>
      <c r="E5" s="62"/>
      <c r="F5" s="62"/>
      <c r="G5" s="62"/>
      <c r="H5" s="62"/>
      <c r="I5" s="151"/>
      <c r="J5" s="151"/>
      <c r="K5" s="151"/>
      <c r="L5" s="151"/>
      <c r="M5" s="151"/>
      <c r="N5" s="151"/>
      <c r="O5" s="151"/>
      <c r="P5" s="151"/>
      <c r="Q5" s="151"/>
      <c r="R5" s="132"/>
    </row>
    <row r="6" spans="1:348" ht="14.65" customHeight="1" x14ac:dyDescent="0.35">
      <c r="A6" s="132"/>
      <c r="B6" s="62"/>
      <c r="C6" s="62"/>
      <c r="D6" s="62"/>
      <c r="E6" s="62"/>
      <c r="F6" s="62"/>
      <c r="G6" s="62"/>
      <c r="H6" s="62"/>
      <c r="I6" s="151"/>
      <c r="J6" s="151"/>
      <c r="K6" s="151"/>
      <c r="L6" s="151"/>
      <c r="M6" s="151"/>
      <c r="N6" s="151"/>
      <c r="O6" s="151"/>
      <c r="P6" s="151"/>
      <c r="Q6" s="151"/>
      <c r="R6" s="132"/>
    </row>
    <row r="7" spans="1:348" ht="14.65" customHeight="1" x14ac:dyDescent="0.35">
      <c r="A7" s="132"/>
      <c r="B7" s="62"/>
      <c r="C7" s="62"/>
      <c r="D7" s="62"/>
      <c r="E7" s="62"/>
      <c r="F7" s="62"/>
      <c r="G7" s="62"/>
      <c r="H7" s="62"/>
      <c r="I7" s="151"/>
      <c r="J7" s="151"/>
      <c r="K7" s="151"/>
      <c r="L7" s="151"/>
      <c r="M7" s="151"/>
      <c r="N7" s="151"/>
      <c r="O7" s="151"/>
      <c r="P7" s="151"/>
      <c r="Q7" s="151"/>
      <c r="R7" s="132"/>
    </row>
    <row r="8" spans="1:348" ht="14.65" customHeight="1" x14ac:dyDescent="0.35">
      <c r="A8" s="132"/>
      <c r="B8" s="28"/>
      <c r="C8" s="28"/>
      <c r="D8" s="28"/>
      <c r="E8" s="62"/>
      <c r="F8" s="62"/>
      <c r="G8" s="62"/>
      <c r="H8" s="62"/>
      <c r="I8" s="151"/>
      <c r="J8" s="151"/>
      <c r="K8" s="151"/>
      <c r="L8" s="151"/>
      <c r="M8" s="151"/>
      <c r="N8" s="151"/>
      <c r="O8" s="151"/>
      <c r="P8" s="151"/>
      <c r="Q8" s="151"/>
      <c r="R8" s="132"/>
    </row>
    <row r="9" spans="1:348" x14ac:dyDescent="0.35">
      <c r="A9" s="132"/>
      <c r="B9" s="27"/>
      <c r="D9" s="61"/>
      <c r="F9" s="61"/>
      <c r="G9" s="61"/>
      <c r="H9" s="61"/>
      <c r="I9" s="61"/>
      <c r="J9" s="61"/>
      <c r="K9" s="61"/>
      <c r="L9" s="61"/>
      <c r="M9" s="61"/>
      <c r="N9" s="61"/>
      <c r="O9" s="61"/>
      <c r="P9" s="61"/>
      <c r="Q9" s="27"/>
      <c r="R9" s="132"/>
      <c r="AM9" t="s">
        <v>33</v>
      </c>
      <c r="AN9">
        <f>IF('General Project Info'!$L$22="$/t/year", MIN('General Project Info'!$K$20+'General Project Info'!$K$22*'Scenarios &amp; Measures'!EL$13, 'General Project Info'!$K$24), 0)</f>
        <v>20</v>
      </c>
      <c r="AO9">
        <f>IF('General Project Info'!$L$22="$/t/year", MIN('General Project Info'!$K$20+'General Project Info'!$K$22*'Scenarios &amp; Measures'!EM$13, 'General Project Info'!$K$24), 0)</f>
        <v>20</v>
      </c>
      <c r="AP9">
        <f>IF('General Project Info'!$L$22="$/t/year", MIN('General Project Info'!$K$20+'General Project Info'!$K$22*'Scenarios &amp; Measures'!EN$13, 'General Project Info'!$K$24), 0)</f>
        <v>20</v>
      </c>
      <c r="AQ9">
        <f>IF('General Project Info'!$L$22="$/t/year", MIN('General Project Info'!$K$20+'General Project Info'!$K$22*'Scenarios &amp; Measures'!EO$13, 'General Project Info'!$K$24), 0)</f>
        <v>20</v>
      </c>
      <c r="AR9">
        <f>IF('General Project Info'!$L$22="$/t/year", MIN('General Project Info'!$K$20+'General Project Info'!$K$22*'Scenarios &amp; Measures'!EP$13, 'General Project Info'!$K$24), 0)</f>
        <v>20</v>
      </c>
      <c r="AS9">
        <f>IF('General Project Info'!$L$22="$/t/year", MIN('General Project Info'!$K$20+'General Project Info'!$K$22*'Scenarios &amp; Measures'!EQ$13, 'General Project Info'!$K$24), 0)</f>
        <v>20</v>
      </c>
      <c r="AT9">
        <f>IF('General Project Info'!$L$22="$/t/year", MIN('General Project Info'!$K$20+'General Project Info'!$K$22*'Scenarios &amp; Measures'!ER$13, 'General Project Info'!$K$24), 0)</f>
        <v>20</v>
      </c>
      <c r="AU9">
        <f>IF('General Project Info'!$L$22="$/t/year", MIN('General Project Info'!$K$20+'General Project Info'!$K$22*'Scenarios &amp; Measures'!ES$13, 'General Project Info'!$K$24), 0)</f>
        <v>20</v>
      </c>
      <c r="AV9">
        <f>IF('General Project Info'!$L$22="$/t/year", MIN('General Project Info'!$K$20+'General Project Info'!$K$22*'Scenarios &amp; Measures'!ET$13, 'General Project Info'!$K$24), 0)</f>
        <v>20</v>
      </c>
      <c r="AW9">
        <f>IF('General Project Info'!$L$22="$/t/year", MIN('General Project Info'!$K$20+'General Project Info'!$K$22*'Scenarios &amp; Measures'!EU$13, 'General Project Info'!$K$24), 0)</f>
        <v>20</v>
      </c>
      <c r="AX9">
        <f>IF('General Project Info'!$L$22="$/t/year", MIN('General Project Info'!$K$20+'General Project Info'!$K$22*'Scenarios &amp; Measures'!EV$13, 'General Project Info'!$K$24), 0)</f>
        <v>20</v>
      </c>
      <c r="AY9">
        <f>IF('General Project Info'!$L$22="$/t/year", MIN('General Project Info'!$K$20+'General Project Info'!$K$22*'Scenarios &amp; Measures'!EW$13, 'General Project Info'!$K$24), 0)</f>
        <v>20</v>
      </c>
      <c r="AZ9">
        <f>IF('General Project Info'!$L$22="$/t/year", MIN('General Project Info'!$K$20+'General Project Info'!$K$22*'Scenarios &amp; Measures'!EX$13, 'General Project Info'!$K$24), 0)</f>
        <v>20</v>
      </c>
      <c r="BA9">
        <f>IF('General Project Info'!$L$22="$/t/year", MIN('General Project Info'!$K$20+'General Project Info'!$K$22*'Scenarios &amp; Measures'!EY$13, 'General Project Info'!$K$24), 0)</f>
        <v>20</v>
      </c>
      <c r="BB9">
        <f>IF('General Project Info'!$L$22="$/t/year", MIN('General Project Info'!$K$20+'General Project Info'!$K$22*'Scenarios &amp; Measures'!EZ$13, 'General Project Info'!$K$24), 0)</f>
        <v>20</v>
      </c>
      <c r="BC9">
        <f>IF('General Project Info'!$L$22="$/t/year", MIN('General Project Info'!$K$20+'General Project Info'!$K$22*'Scenarios &amp; Measures'!FA$13, 'General Project Info'!$K$24), 0)</f>
        <v>20</v>
      </c>
      <c r="BD9">
        <f>IF('General Project Info'!$L$22="$/t/year", MIN('General Project Info'!$K$20+'General Project Info'!$K$22*'Scenarios &amp; Measures'!FB$13, 'General Project Info'!$K$24), 0)</f>
        <v>20</v>
      </c>
      <c r="BE9">
        <f>IF('General Project Info'!$L$22="$/t/year", MIN('General Project Info'!$K$20+'General Project Info'!$K$22*'Scenarios &amp; Measures'!FC$13, 'General Project Info'!$K$24), 0)</f>
        <v>20</v>
      </c>
      <c r="BF9">
        <f>IF('General Project Info'!$L$22="$/t/year", MIN('General Project Info'!$K$20+'General Project Info'!$K$22*'Scenarios &amp; Measures'!FD$13, 'General Project Info'!$K$24), 0)</f>
        <v>20</v>
      </c>
      <c r="BG9">
        <f>IF('General Project Info'!$L$22="$/t/year", MIN('General Project Info'!$K$20+'General Project Info'!$K$22*'Scenarios &amp; Measures'!FE$13, 'General Project Info'!$K$24), 0)</f>
        <v>20</v>
      </c>
      <c r="BH9">
        <f>IF('General Project Info'!$L$22="$/t/year", MIN('General Project Info'!$K$20+'General Project Info'!$K$22*'Scenarios &amp; Measures'!FF$13, 'General Project Info'!$K$24), 0)</f>
        <v>20</v>
      </c>
      <c r="BI9">
        <f>IF('General Project Info'!$L$22="$/t/year", MIN('General Project Info'!$K$20+'General Project Info'!$K$22*'Scenarios &amp; Measures'!FG$13, 'General Project Info'!$K$24), 0)</f>
        <v>20</v>
      </c>
      <c r="BJ9">
        <f>IF('General Project Info'!$L$22="$/t/year", MIN('General Project Info'!$K$20+'General Project Info'!$K$22*'Scenarios &amp; Measures'!FH$13, 'General Project Info'!$K$24), 0)</f>
        <v>20</v>
      </c>
      <c r="BK9">
        <f>IF('General Project Info'!$L$22="$/t/year", MIN('General Project Info'!$K$20+'General Project Info'!$K$22*'Scenarios &amp; Measures'!FI$13, 'General Project Info'!$K$24), 0)</f>
        <v>20</v>
      </c>
      <c r="BL9">
        <f>IF('General Project Info'!$L$22="$/t/year", MIN('General Project Info'!$K$20+'General Project Info'!$K$22*'Scenarios &amp; Measures'!FJ$13, 'General Project Info'!$K$24), 0)</f>
        <v>20</v>
      </c>
      <c r="BM9">
        <f>IF('General Project Info'!$L$22="$/t/year", MIN('General Project Info'!$K$20+'General Project Info'!$K$22*'Scenarios &amp; Measures'!FK$13, 'General Project Info'!$K$24), 0)</f>
        <v>20</v>
      </c>
      <c r="BN9">
        <f>IF('General Project Info'!$L$22="$/t/year", MIN('General Project Info'!$K$20+'General Project Info'!$K$22*'Scenarios &amp; Measures'!FL$13, 'General Project Info'!$K$24), 0)</f>
        <v>20</v>
      </c>
      <c r="BO9">
        <f>IF('General Project Info'!$L$22="$/t/year", MIN('General Project Info'!$K$20+'General Project Info'!$K$22*'Scenarios &amp; Measures'!FM$13, 'General Project Info'!$K$24), 0)</f>
        <v>20</v>
      </c>
      <c r="BP9">
        <f>IF('General Project Info'!$L$22="$/t/year", MIN('General Project Info'!$K$20+'General Project Info'!$K$22*'Scenarios &amp; Measures'!FN$13, 'General Project Info'!$K$24), 0)</f>
        <v>20</v>
      </c>
      <c r="BQ9">
        <f>IF('General Project Info'!$L$22="$/t/year", MIN('General Project Info'!$K$20+'General Project Info'!$K$22*'Scenarios &amp; Measures'!FO$13, 'General Project Info'!$K$24), 0)</f>
        <v>20</v>
      </c>
      <c r="BR9">
        <f>IF('General Project Info'!$L$22="$/t/year", MIN('General Project Info'!$K$20+'General Project Info'!$K$22*'Scenarios &amp; Measures'!FP$13, 'General Project Info'!$K$24), 0)</f>
        <v>20</v>
      </c>
      <c r="BS9">
        <f>IF('General Project Info'!$L$22="$/t/year", MIN('General Project Info'!$K$20+'General Project Info'!$K$22*'Scenarios &amp; Measures'!FQ$13, 'General Project Info'!$K$24), 0)</f>
        <v>20</v>
      </c>
      <c r="BT9">
        <f>IF('General Project Info'!$L$22="$/t/year", MIN('General Project Info'!$K$20+'General Project Info'!$K$22*'Scenarios &amp; Measures'!FR$13, 'General Project Info'!$K$24), 0)</f>
        <v>20</v>
      </c>
      <c r="BU9">
        <f>IF('General Project Info'!$L$22="$/t/year", MIN('General Project Info'!$K$20+'General Project Info'!$K$22*'Scenarios &amp; Measures'!FS$13, 'General Project Info'!$K$24), 0)</f>
        <v>20</v>
      </c>
      <c r="BV9">
        <f>IF('General Project Info'!$L$22="$/t/year", MIN('General Project Info'!$K$20+'General Project Info'!$K$22*'Scenarios &amp; Measures'!FT$13, 'General Project Info'!$K$24), 0)</f>
        <v>20</v>
      </c>
      <c r="BW9">
        <f>IF('General Project Info'!$L$22="$/t/year", MIN('General Project Info'!$K$20+'General Project Info'!$K$22*'Scenarios &amp; Measures'!FU$13, 'General Project Info'!$K$24), 0)</f>
        <v>20</v>
      </c>
      <c r="BX9">
        <f>IF('General Project Info'!$L$22="$/t/year", MIN('General Project Info'!$K$20+'General Project Info'!$K$22*'Scenarios &amp; Measures'!FV$13, 'General Project Info'!$K$24), 0)</f>
        <v>20</v>
      </c>
      <c r="BY9">
        <f>IF('General Project Info'!$L$22="$/t/year", MIN('General Project Info'!$K$20+'General Project Info'!$K$22*'Scenarios &amp; Measures'!FW$13, 'General Project Info'!$K$24), 0)</f>
        <v>20</v>
      </c>
      <c r="BZ9">
        <f>IF('General Project Info'!$L$22="$/t/year", MIN('General Project Info'!$K$20+'General Project Info'!$K$22*'Scenarios &amp; Measures'!FX$13, 'General Project Info'!$K$24), 0)</f>
        <v>20</v>
      </c>
      <c r="CA9">
        <f>IF('General Project Info'!$L$22="$/t/year", MIN('General Project Info'!$K$20+'General Project Info'!$K$22*'Scenarios &amp; Measures'!FY$13, 'General Project Info'!$K$24), 0)</f>
        <v>20</v>
      </c>
      <c r="CB9">
        <f>IF('General Project Info'!$L$22="$/t/year", MIN('General Project Info'!$K$20+'General Project Info'!$K$22*'Scenarios &amp; Measures'!FZ$13, 'General Project Info'!$K$24), 0)</f>
        <v>20</v>
      </c>
      <c r="CC9">
        <f>IF('General Project Info'!$L$22="$/t/year", MIN('General Project Info'!$K$20+'General Project Info'!$K$22*'Scenarios &amp; Measures'!GA$13, 'General Project Info'!$K$24), 0)</f>
        <v>20</v>
      </c>
      <c r="CD9">
        <f>IF('General Project Info'!$L$22="$/t/year", MIN('General Project Info'!$K$20+'General Project Info'!$K$22*'Scenarios &amp; Measures'!GB$13, 'General Project Info'!$K$24), 0)</f>
        <v>20</v>
      </c>
      <c r="CE9">
        <f>IF('General Project Info'!$L$22="$/t/year", MIN('General Project Info'!$K$20+'General Project Info'!$K$22*'Scenarios &amp; Measures'!GC$13, 'General Project Info'!$K$24), 0)</f>
        <v>20</v>
      </c>
      <c r="CF9">
        <f>IF('General Project Info'!$L$22="$/t/year", MIN('General Project Info'!$K$20+'General Project Info'!$K$22*'Scenarios &amp; Measures'!GD$13, 'General Project Info'!$K$24), 0)</f>
        <v>20</v>
      </c>
      <c r="CG9">
        <f>IF('General Project Info'!$L$22="$/t/year", MIN('General Project Info'!$K$20+'General Project Info'!$K$22*'Scenarios &amp; Measures'!GE$13, 'General Project Info'!$K$24), 0)</f>
        <v>20</v>
      </c>
      <c r="CH9">
        <f>IF('General Project Info'!$L$22="$/t/year", MIN('General Project Info'!$K$20+'General Project Info'!$K$22*'Scenarios &amp; Measures'!GF$13, 'General Project Info'!$K$24), 0)</f>
        <v>20</v>
      </c>
      <c r="CI9">
        <f>IF('General Project Info'!$L$22="$/t/year", MIN('General Project Info'!$K$20+'General Project Info'!$K$22*'Scenarios &amp; Measures'!GG$13, 'General Project Info'!$K$24), 0)</f>
        <v>20</v>
      </c>
      <c r="CJ9">
        <f>IF('General Project Info'!$L$22="$/t/year", MIN('General Project Info'!$K$20+'General Project Info'!$K$22*'Scenarios &amp; Measures'!GH$13, 'General Project Info'!$K$24), 0)</f>
        <v>20</v>
      </c>
      <c r="CK9">
        <f>IF('General Project Info'!$L$22="$/t/year", MIN('General Project Info'!$K$20+'General Project Info'!$K$22*'Scenarios &amp; Measures'!GI$13, 'General Project Info'!$K$24), 0)</f>
        <v>20</v>
      </c>
      <c r="CL9">
        <f>IF('General Project Info'!$L$22="$/t/year", MIN('General Project Info'!$K$20+'General Project Info'!$K$22*'Scenarios &amp; Measures'!GJ$13, 'General Project Info'!$K$24), 0)</f>
        <v>20</v>
      </c>
      <c r="CM9">
        <f>IF('General Project Info'!$L$22="$/t/year", MIN('General Project Info'!$K$20+'General Project Info'!$K$22*'Scenarios &amp; Measures'!GK$13, 'General Project Info'!$K$24), 0)</f>
        <v>20</v>
      </c>
      <c r="CN9">
        <f>IF('General Project Info'!$L$22="$/t/year", MIN('General Project Info'!$K$20+'General Project Info'!$K$22*'Scenarios &amp; Measures'!GL$13, 'General Project Info'!$K$24), 0)</f>
        <v>20</v>
      </c>
      <c r="CO9">
        <f>IF('General Project Info'!$L$22="$/t/year", MIN('General Project Info'!$K$20+'General Project Info'!$K$22*'Scenarios &amp; Measures'!GM$13, 'General Project Info'!$K$24), 0)</f>
        <v>20</v>
      </c>
      <c r="CP9">
        <f>IF('General Project Info'!$L$22="$/t/year", MIN('General Project Info'!$K$20+'General Project Info'!$K$22*'Scenarios &amp; Measures'!GN$13, 'General Project Info'!$K$24), 0)</f>
        <v>20</v>
      </c>
      <c r="CQ9">
        <f>IF('General Project Info'!$L$22="$/t/year", MIN('General Project Info'!$K$20+'General Project Info'!$K$22*'Scenarios &amp; Measures'!GO$13, 'General Project Info'!$K$24), 0)</f>
        <v>20</v>
      </c>
      <c r="CR9">
        <f>IF('General Project Info'!$L$22="$/t/year", MIN('General Project Info'!$K$20+'General Project Info'!$K$22*'Scenarios &amp; Measures'!GP$13, 'General Project Info'!$K$24), 0)</f>
        <v>20</v>
      </c>
      <c r="CS9">
        <f>IF('General Project Info'!$L$22="$/t/year", MIN('General Project Info'!$K$20+'General Project Info'!$K$22*'Scenarios &amp; Measures'!GQ$13, 'General Project Info'!$K$24), 0)</f>
        <v>20</v>
      </c>
      <c r="CT9">
        <f>IF('General Project Info'!$L$22="$/t/year", MIN('General Project Info'!$K$20+'General Project Info'!$K$22*'Scenarios &amp; Measures'!GR$13, 'General Project Info'!$K$24), 0)</f>
        <v>20</v>
      </c>
      <c r="CU9">
        <f>IF('General Project Info'!$L$22="$/t/year", MIN('General Project Info'!$K$20+'General Project Info'!$K$22*'Scenarios &amp; Measures'!GS$13, 'General Project Info'!$K$24), 0)</f>
        <v>20</v>
      </c>
      <c r="CV9">
        <f>IF('General Project Info'!$L$22="$/t/year", MIN('General Project Info'!$K$20+'General Project Info'!$K$22*'Scenarios &amp; Measures'!GT$13, 'General Project Info'!$K$24), 0)</f>
        <v>20</v>
      </c>
      <c r="CW9">
        <f>IF('General Project Info'!$L$22="$/t/year", MIN('General Project Info'!$K$20+'General Project Info'!$K$22*'Scenarios &amp; Measures'!GU$13, 'General Project Info'!$K$24), 0)</f>
        <v>20</v>
      </c>
      <c r="CX9">
        <f>IF('General Project Info'!$L$22="$/t/year", MIN('General Project Info'!$K$20+'General Project Info'!$K$22*'Scenarios &amp; Measures'!GV$13, 'General Project Info'!$K$24), 0)</f>
        <v>20</v>
      </c>
      <c r="CY9">
        <f>IF('General Project Info'!$L$22="$/t/year", MIN('General Project Info'!$K$20+'General Project Info'!$K$22*'Scenarios &amp; Measures'!GW$13, 'General Project Info'!$K$24), 0)</f>
        <v>20</v>
      </c>
      <c r="CZ9">
        <f>IF('General Project Info'!$L$22="$/t/year", MIN('General Project Info'!$K$20+'General Project Info'!$K$22*'Scenarios &amp; Measures'!GX$13, 'General Project Info'!$K$24), 0)</f>
        <v>20</v>
      </c>
      <c r="DA9">
        <f>IF('General Project Info'!$L$22="$/t/year", MIN('General Project Info'!$K$20+'General Project Info'!$K$22*'Scenarios &amp; Measures'!GY$13, 'General Project Info'!$K$24), 0)</f>
        <v>20</v>
      </c>
      <c r="DB9">
        <f>IF('General Project Info'!$L$22="$/t/year", MIN('General Project Info'!$K$20+'General Project Info'!$K$22*'Scenarios &amp; Measures'!GZ$13, 'General Project Info'!$K$24), 0)</f>
        <v>20</v>
      </c>
      <c r="DC9">
        <f>IF('General Project Info'!$L$22="$/t/year", MIN('General Project Info'!$K$20+'General Project Info'!$K$22*'Scenarios &amp; Measures'!HA$13, 'General Project Info'!$K$24), 0)</f>
        <v>20</v>
      </c>
      <c r="DD9">
        <f>IF('General Project Info'!$L$22="$/t/year", MIN('General Project Info'!$K$20+'General Project Info'!$K$22*'Scenarios &amp; Measures'!HB$13, 'General Project Info'!$K$24), 0)</f>
        <v>20</v>
      </c>
      <c r="DE9">
        <f>IF('General Project Info'!$L$22="$/t/year", MIN('General Project Info'!$K$20+'General Project Info'!$K$22*'Scenarios &amp; Measures'!HC$13, 'General Project Info'!$K$24), 0)</f>
        <v>20</v>
      </c>
      <c r="DF9">
        <f>IF('General Project Info'!$L$22="$/t/year", MIN('General Project Info'!$K$20+'General Project Info'!$K$22*'Scenarios &amp; Measures'!HD$13, 'General Project Info'!$K$24), 0)</f>
        <v>20</v>
      </c>
      <c r="DG9">
        <f>IF('General Project Info'!$L$22="$/t/year", MIN('General Project Info'!$K$20+'General Project Info'!$K$22*'Scenarios &amp; Measures'!HE$13, 'General Project Info'!$K$24), 0)</f>
        <v>20</v>
      </c>
      <c r="DH9">
        <f>IF('General Project Info'!$L$22="$/t/year", MIN('General Project Info'!$K$20+'General Project Info'!$K$22*'Scenarios &amp; Measures'!HF$13, 'General Project Info'!$K$24), 0)</f>
        <v>20</v>
      </c>
      <c r="DI9">
        <f>IF('General Project Info'!$L$22="$/t/year", MIN('General Project Info'!$K$20+'General Project Info'!$K$22*'Scenarios &amp; Measures'!HG$13, 'General Project Info'!$K$24), 0)</f>
        <v>20</v>
      </c>
      <c r="DJ9">
        <f>IF('General Project Info'!$L$22="$/t/year", MIN('General Project Info'!$K$20+'General Project Info'!$K$22*'Scenarios &amp; Measures'!HH$13, 'General Project Info'!$K$24), 0)</f>
        <v>20</v>
      </c>
      <c r="DK9">
        <f>IF('General Project Info'!$L$22="$/t/year", MIN('General Project Info'!$K$20+'General Project Info'!$K$22*'Scenarios &amp; Measures'!HI$13, 'General Project Info'!$K$24), 0)</f>
        <v>20</v>
      </c>
      <c r="DL9">
        <f>IF('General Project Info'!$L$22="$/t/year", MIN('General Project Info'!$K$20+'General Project Info'!$K$22*'Scenarios &amp; Measures'!HJ$13, 'General Project Info'!$K$24), 0)</f>
        <v>20</v>
      </c>
      <c r="DM9">
        <f>IF('General Project Info'!$L$22="$/t/year", MIN('General Project Info'!$K$20+'General Project Info'!$K$22*'Scenarios &amp; Measures'!HK$13, 'General Project Info'!$K$24), 0)</f>
        <v>20</v>
      </c>
      <c r="DN9">
        <f>IF('General Project Info'!$L$22="$/t/year", MIN('General Project Info'!$K$20+'General Project Info'!$K$22*'Scenarios &amp; Measures'!HL$13, 'General Project Info'!$K$24), 0)</f>
        <v>20</v>
      </c>
      <c r="DO9">
        <f>IF('General Project Info'!$L$22="$/t/year", MIN('General Project Info'!$K$20+'General Project Info'!$K$22*'Scenarios &amp; Measures'!HM$13, 'General Project Info'!$K$24), 0)</f>
        <v>20</v>
      </c>
      <c r="DP9">
        <f>IF('General Project Info'!$L$22="$/t/year", MIN('General Project Info'!$K$20+'General Project Info'!$K$22*'Scenarios &amp; Measures'!HN$13, 'General Project Info'!$K$24), 0)</f>
        <v>20</v>
      </c>
      <c r="DQ9">
        <f>IF('General Project Info'!$L$22="$/t/year", MIN('General Project Info'!$K$20+'General Project Info'!$K$22*'Scenarios &amp; Measures'!HO$13, 'General Project Info'!$K$24), 0)</f>
        <v>20</v>
      </c>
      <c r="DR9">
        <f>IF('General Project Info'!$L$22="$/t/year", MIN('General Project Info'!$K$20+'General Project Info'!$K$22*'Scenarios &amp; Measures'!HP$13, 'General Project Info'!$K$24), 0)</f>
        <v>20</v>
      </c>
      <c r="DS9">
        <f>IF('General Project Info'!$L$22="$/t/year", MIN('General Project Info'!$K$20+'General Project Info'!$K$22*'Scenarios &amp; Measures'!HQ$13, 'General Project Info'!$K$24), 0)</f>
        <v>20</v>
      </c>
      <c r="DT9">
        <f>IF('General Project Info'!$L$22="$/t/year", MIN('General Project Info'!$K$20+'General Project Info'!$K$22*'Scenarios &amp; Measures'!HR$13, 'General Project Info'!$K$24), 0)</f>
        <v>20</v>
      </c>
      <c r="DU9">
        <f>IF('General Project Info'!$L$22="$/t/year", MIN('General Project Info'!$K$20+'General Project Info'!$K$22*'Scenarios &amp; Measures'!HS$13, 'General Project Info'!$K$24), 0)</f>
        <v>20</v>
      </c>
      <c r="DV9">
        <f>IF('General Project Info'!$L$22="$/t/year", MIN('General Project Info'!$K$20+'General Project Info'!$K$22*'Scenarios &amp; Measures'!HT$13, 'General Project Info'!$K$24), 0)</f>
        <v>20</v>
      </c>
      <c r="DW9">
        <f>IF('General Project Info'!$L$22="$/t/year", MIN('General Project Info'!$K$20+'General Project Info'!$K$22*'Scenarios &amp; Measures'!HU$13, 'General Project Info'!$K$24), 0)</f>
        <v>20</v>
      </c>
      <c r="DX9">
        <f>IF('General Project Info'!$L$22="$/t/year", MIN('General Project Info'!$K$20+'General Project Info'!$K$22*'Scenarios &amp; Measures'!HV$13, 'General Project Info'!$K$24), 0)</f>
        <v>20</v>
      </c>
      <c r="DY9">
        <f>IF('General Project Info'!$L$22="$/t/year", MIN('General Project Info'!$K$20+'General Project Info'!$K$22*'Scenarios &amp; Measures'!HW$13, 'General Project Info'!$K$24), 0)</f>
        <v>20</v>
      </c>
      <c r="DZ9">
        <f>IF('General Project Info'!$L$22="$/t/year", MIN('General Project Info'!$K$20+'General Project Info'!$K$22*'Scenarios &amp; Measures'!HX$13, 'General Project Info'!$K$24), 0)</f>
        <v>20</v>
      </c>
      <c r="EA9">
        <f>IF('General Project Info'!$L$22="$/t/year", MIN('General Project Info'!$K$20+'General Project Info'!$K$22*'Scenarios &amp; Measures'!HY$13, 'General Project Info'!$K$24), 0)</f>
        <v>20</v>
      </c>
      <c r="EB9">
        <f>IF('General Project Info'!$L$22="$/t/year", MIN('General Project Info'!$K$20+'General Project Info'!$K$22*'Scenarios &amp; Measures'!HZ$13, 'General Project Info'!$K$24), 0)</f>
        <v>20</v>
      </c>
      <c r="EC9">
        <f>IF('General Project Info'!$L$22="$/t/year", MIN('General Project Info'!$K$20+'General Project Info'!$K$22*'Scenarios &amp; Measures'!IA$13, 'General Project Info'!$K$24), 0)</f>
        <v>20</v>
      </c>
      <c r="ED9">
        <f>IF('General Project Info'!$L$22="$/t/year", MIN('General Project Info'!$K$20+'General Project Info'!$K$22*'Scenarios &amp; Measures'!IB$13, 'General Project Info'!$K$24), 0)</f>
        <v>20</v>
      </c>
      <c r="EE9">
        <f>IF('General Project Info'!$L$22="$/t/year", MIN('General Project Info'!$K$20+'General Project Info'!$K$22*'Scenarios &amp; Measures'!IC$13, 'General Project Info'!$K$24), 0)</f>
        <v>20</v>
      </c>
      <c r="EF9">
        <f>IF('General Project Info'!$L$22="$/t/year", MIN('General Project Info'!$K$20+'General Project Info'!$K$22*'Scenarios &amp; Measures'!ID$13, 'General Project Info'!$K$24), 0)</f>
        <v>20</v>
      </c>
      <c r="EG9">
        <f>IF('General Project Info'!$L$22="$/t/year", MIN('General Project Info'!$K$20+'General Project Info'!$K$22*'Scenarios &amp; Measures'!IE$13, 'General Project Info'!$K$24), 0)</f>
        <v>20</v>
      </c>
      <c r="EH9">
        <f>IF('General Project Info'!$L$22="$/t/year", MIN('General Project Info'!$K$20+'General Project Info'!$K$22*'Scenarios &amp; Measures'!IF$13, 'General Project Info'!$K$24), 0)</f>
        <v>20</v>
      </c>
      <c r="EI9">
        <f>IF('General Project Info'!$L$22="$/t/year", MIN('General Project Info'!$K$20+'General Project Info'!$K$22*'Scenarios &amp; Measures'!IG$13, 'General Project Info'!$K$24), 0)</f>
        <v>20</v>
      </c>
      <c r="EJ9">
        <f>IF('General Project Info'!$L$22="$/t/year", MIN('General Project Info'!$K$20+'General Project Info'!$K$22*'Scenarios &amp; Measures'!IH$13, 'General Project Info'!$K$24), 0)</f>
        <v>20</v>
      </c>
      <c r="MG9" s="12"/>
      <c r="MH9" s="12"/>
      <c r="MI9" s="12"/>
      <c r="MJ9" s="12"/>
    </row>
    <row r="10" spans="1:348" x14ac:dyDescent="0.35">
      <c r="A10" s="132"/>
      <c r="B10" s="27"/>
      <c r="C10" s="28" t="s">
        <v>395</v>
      </c>
      <c r="D10" s="27"/>
      <c r="E10" s="27"/>
      <c r="F10" s="27"/>
      <c r="G10" s="27"/>
      <c r="H10" s="27"/>
      <c r="I10" s="27"/>
      <c r="J10" s="27"/>
      <c r="K10" s="27"/>
      <c r="L10" s="27"/>
      <c r="M10" s="27"/>
      <c r="N10" s="27"/>
      <c r="O10" s="27"/>
      <c r="P10" s="27"/>
      <c r="Q10" s="27"/>
      <c r="R10" s="132"/>
      <c r="U10" t="s">
        <v>249</v>
      </c>
      <c r="V10" t="str">
        <f>'General Project Info'!$N$16</f>
        <v>Carbon Offset</v>
      </c>
      <c r="W10" t="s">
        <v>252</v>
      </c>
      <c r="X10">
        <f>'General Project Info'!$F$20</f>
        <v>20</v>
      </c>
      <c r="Y10" t="s">
        <v>248</v>
      </c>
      <c r="Z10">
        <f>1+'General Project Info'!$K$22/100</f>
        <v>1.1000000000000001</v>
      </c>
      <c r="AM10" t="s">
        <v>12</v>
      </c>
      <c r="AN10" s="12">
        <f>IF('General Project Info'!$L$22="%", MIN('General Project Info'!$K$20*'Scenarios &amp; Measures'!$Z$10^'Scenarios &amp; Measures'!EL$13, 'General Project Info'!$K$24), 0)</f>
        <v>0</v>
      </c>
      <c r="AO10" s="12">
        <f>IF('General Project Info'!$L$22="%", MIN('General Project Info'!$K$20*'Scenarios &amp; Measures'!$Z$10^'Scenarios &amp; Measures'!EM$13, 'General Project Info'!$K$24), 0)</f>
        <v>0</v>
      </c>
      <c r="AP10" s="12">
        <f>IF('General Project Info'!$L$22="%", MIN('General Project Info'!$K$20*'Scenarios &amp; Measures'!$Z$10^'Scenarios &amp; Measures'!EN$13, 'General Project Info'!$K$24), 0)</f>
        <v>0</v>
      </c>
      <c r="AQ10" s="12">
        <f>IF('General Project Info'!$L$22="%", MIN('General Project Info'!$K$20*'Scenarios &amp; Measures'!$Z$10^'Scenarios &amp; Measures'!EO$13, 'General Project Info'!$K$24), 0)</f>
        <v>0</v>
      </c>
      <c r="AR10" s="12">
        <f>IF('General Project Info'!$L$22="%", MIN('General Project Info'!$K$20*'Scenarios &amp; Measures'!$Z$10^'Scenarios &amp; Measures'!EP$13, 'General Project Info'!$K$24), 0)</f>
        <v>0</v>
      </c>
      <c r="AS10" s="12">
        <f>IF('General Project Info'!$L$22="%", MIN('General Project Info'!$K$20*'Scenarios &amp; Measures'!$Z$10^'Scenarios &amp; Measures'!EQ$13, 'General Project Info'!$K$24), 0)</f>
        <v>0</v>
      </c>
      <c r="AT10" s="12">
        <f>IF('General Project Info'!$L$22="%", MIN('General Project Info'!$K$20*'Scenarios &amp; Measures'!$Z$10^'Scenarios &amp; Measures'!ER$13, 'General Project Info'!$K$24), 0)</f>
        <v>0</v>
      </c>
      <c r="AU10" s="12">
        <f>IF('General Project Info'!$L$22="%", MIN('General Project Info'!$K$20*'Scenarios &amp; Measures'!$Z$10^'Scenarios &amp; Measures'!ES$13, 'General Project Info'!$K$24), 0)</f>
        <v>0</v>
      </c>
      <c r="AV10" s="12">
        <f>IF('General Project Info'!$L$22="%", MIN('General Project Info'!$K$20*'Scenarios &amp; Measures'!$Z$10^'Scenarios &amp; Measures'!ET$13, 'General Project Info'!$K$24), 0)</f>
        <v>0</v>
      </c>
      <c r="AW10" s="12">
        <f>IF('General Project Info'!$L$22="%", MIN('General Project Info'!$K$20*'Scenarios &amp; Measures'!$Z$10^'Scenarios &amp; Measures'!EU$13, 'General Project Info'!$K$24), 0)</f>
        <v>0</v>
      </c>
      <c r="AX10" s="12">
        <f>IF('General Project Info'!$L$22="%", MIN('General Project Info'!$K$20*'Scenarios &amp; Measures'!$Z$10^'Scenarios &amp; Measures'!EV$13, 'General Project Info'!$K$24), 0)</f>
        <v>0</v>
      </c>
      <c r="AY10" s="12">
        <f>IF('General Project Info'!$L$22="%", MIN('General Project Info'!$K$20*'Scenarios &amp; Measures'!$Z$10^'Scenarios &amp; Measures'!EW$13, 'General Project Info'!$K$24), 0)</f>
        <v>0</v>
      </c>
      <c r="AZ10" s="12">
        <f>IF('General Project Info'!$L$22="%", MIN('General Project Info'!$K$20*'Scenarios &amp; Measures'!$Z$10^'Scenarios &amp; Measures'!EX$13, 'General Project Info'!$K$24), 0)</f>
        <v>0</v>
      </c>
      <c r="BA10" s="12">
        <f>IF('General Project Info'!$L$22="%", MIN('General Project Info'!$K$20*'Scenarios &amp; Measures'!$Z$10^'Scenarios &amp; Measures'!EY$13, 'General Project Info'!$K$24), 0)</f>
        <v>0</v>
      </c>
      <c r="BB10" s="12">
        <f>IF('General Project Info'!$L$22="%", MIN('General Project Info'!$K$20*'Scenarios &amp; Measures'!$Z$10^'Scenarios &amp; Measures'!EZ$13, 'General Project Info'!$K$24), 0)</f>
        <v>0</v>
      </c>
      <c r="BC10" s="12">
        <f>IF('General Project Info'!$L$22="%", MIN('General Project Info'!$K$20*'Scenarios &amp; Measures'!$Z$10^'Scenarios &amp; Measures'!FA$13, 'General Project Info'!$K$24), 0)</f>
        <v>0</v>
      </c>
      <c r="BD10" s="12">
        <f>IF('General Project Info'!$L$22="%", MIN('General Project Info'!$K$20*'Scenarios &amp; Measures'!$Z$10^'Scenarios &amp; Measures'!FB$13, 'General Project Info'!$K$24), 0)</f>
        <v>0</v>
      </c>
      <c r="BE10" s="12">
        <f>IF('General Project Info'!$L$22="%", MIN('General Project Info'!$K$20*'Scenarios &amp; Measures'!$Z$10^'Scenarios &amp; Measures'!FC$13, 'General Project Info'!$K$24), 0)</f>
        <v>0</v>
      </c>
      <c r="BF10" s="12">
        <f>IF('General Project Info'!$L$22="%", MIN('General Project Info'!$K$20*'Scenarios &amp; Measures'!$Z$10^'Scenarios &amp; Measures'!FD$13, 'General Project Info'!$K$24), 0)</f>
        <v>0</v>
      </c>
      <c r="BG10" s="12">
        <f>IF('General Project Info'!$L$22="%", MIN('General Project Info'!$K$20*'Scenarios &amp; Measures'!$Z$10^'Scenarios &amp; Measures'!FE$13, 'General Project Info'!$K$24), 0)</f>
        <v>0</v>
      </c>
      <c r="BH10" s="12">
        <f>IF('General Project Info'!$L$22="%", MIN('General Project Info'!$K$20*'Scenarios &amp; Measures'!$Z$10^'Scenarios &amp; Measures'!FF$13, 'General Project Info'!$K$24), 0)</f>
        <v>0</v>
      </c>
      <c r="BI10" s="12">
        <f>IF('General Project Info'!$L$22="%", MIN('General Project Info'!$K$20*'Scenarios &amp; Measures'!$Z$10^'Scenarios &amp; Measures'!FG$13, 'General Project Info'!$K$24), 0)</f>
        <v>0</v>
      </c>
      <c r="BJ10" s="12">
        <f>IF('General Project Info'!$L$22="%", MIN('General Project Info'!$K$20*'Scenarios &amp; Measures'!$Z$10^'Scenarios &amp; Measures'!FH$13, 'General Project Info'!$K$24), 0)</f>
        <v>0</v>
      </c>
      <c r="BK10" s="12">
        <f>IF('General Project Info'!$L$22="%", MIN('General Project Info'!$K$20*'Scenarios &amp; Measures'!$Z$10^'Scenarios &amp; Measures'!FI$13, 'General Project Info'!$K$24), 0)</f>
        <v>0</v>
      </c>
      <c r="BL10" s="12">
        <f>IF('General Project Info'!$L$22="%", MIN('General Project Info'!$K$20*'Scenarios &amp; Measures'!$Z$10^'Scenarios &amp; Measures'!FJ$13, 'General Project Info'!$K$24), 0)</f>
        <v>0</v>
      </c>
      <c r="BM10" s="12">
        <f>IF('General Project Info'!$L$22="%", MIN('General Project Info'!$K$20*'Scenarios &amp; Measures'!$Z$10^'Scenarios &amp; Measures'!FK$13, 'General Project Info'!$K$24), 0)</f>
        <v>0</v>
      </c>
      <c r="BN10" s="12">
        <f>IF('General Project Info'!$L$22="%", MIN('General Project Info'!$K$20*'Scenarios &amp; Measures'!$Z$10^'Scenarios &amp; Measures'!FL$13, 'General Project Info'!$K$24), 0)</f>
        <v>0</v>
      </c>
      <c r="BO10" s="12">
        <f>IF('General Project Info'!$L$22="%", MIN('General Project Info'!$K$20*'Scenarios &amp; Measures'!$Z$10^'Scenarios &amp; Measures'!FM$13, 'General Project Info'!$K$24), 0)</f>
        <v>0</v>
      </c>
      <c r="BP10" s="12">
        <f>IF('General Project Info'!$L$22="%", MIN('General Project Info'!$K$20*'Scenarios &amp; Measures'!$Z$10^'Scenarios &amp; Measures'!FN$13, 'General Project Info'!$K$24), 0)</f>
        <v>0</v>
      </c>
      <c r="BQ10" s="12">
        <f>IF('General Project Info'!$L$22="%", MIN('General Project Info'!$K$20*'Scenarios &amp; Measures'!$Z$10^'Scenarios &amp; Measures'!FO$13, 'General Project Info'!$K$24), 0)</f>
        <v>0</v>
      </c>
      <c r="BR10" s="12">
        <f>IF('General Project Info'!$L$22="%", MIN('General Project Info'!$K$20*'Scenarios &amp; Measures'!$Z$10^'Scenarios &amp; Measures'!FP$13, 'General Project Info'!$K$24), 0)</f>
        <v>0</v>
      </c>
      <c r="BS10" s="12">
        <f>IF('General Project Info'!$L$22="%", MIN('General Project Info'!$K$20*'Scenarios &amp; Measures'!$Z$10^'Scenarios &amp; Measures'!FQ$13, 'General Project Info'!$K$24), 0)</f>
        <v>0</v>
      </c>
      <c r="BT10" s="12">
        <f>IF('General Project Info'!$L$22="%", MIN('General Project Info'!$K$20*'Scenarios &amp; Measures'!$Z$10^'Scenarios &amp; Measures'!FR$13, 'General Project Info'!$K$24), 0)</f>
        <v>0</v>
      </c>
      <c r="BU10" s="12">
        <f>IF('General Project Info'!$L$22="%", MIN('General Project Info'!$K$20*'Scenarios &amp; Measures'!$Z$10^'Scenarios &amp; Measures'!FS$13, 'General Project Info'!$K$24), 0)</f>
        <v>0</v>
      </c>
      <c r="BV10" s="12">
        <f>IF('General Project Info'!$L$22="%", MIN('General Project Info'!$K$20*'Scenarios &amp; Measures'!$Z$10^'Scenarios &amp; Measures'!FT$13, 'General Project Info'!$K$24), 0)</f>
        <v>0</v>
      </c>
      <c r="BW10" s="12">
        <f>IF('General Project Info'!$L$22="%", MIN('General Project Info'!$K$20*'Scenarios &amp; Measures'!$Z$10^'Scenarios &amp; Measures'!FU$13, 'General Project Info'!$K$24), 0)</f>
        <v>0</v>
      </c>
      <c r="BX10" s="12">
        <f>IF('General Project Info'!$L$22="%", MIN('General Project Info'!$K$20*'Scenarios &amp; Measures'!$Z$10^'Scenarios &amp; Measures'!FV$13, 'General Project Info'!$K$24), 0)</f>
        <v>0</v>
      </c>
      <c r="BY10" s="12">
        <f>IF('General Project Info'!$L$22="%", MIN('General Project Info'!$K$20*'Scenarios &amp; Measures'!$Z$10^'Scenarios &amp; Measures'!FW$13, 'General Project Info'!$K$24), 0)</f>
        <v>0</v>
      </c>
      <c r="BZ10" s="12">
        <f>IF('General Project Info'!$L$22="%", MIN('General Project Info'!$K$20*'Scenarios &amp; Measures'!$Z$10^'Scenarios &amp; Measures'!FX$13, 'General Project Info'!$K$24), 0)</f>
        <v>0</v>
      </c>
      <c r="CA10" s="12">
        <f>IF('General Project Info'!$L$22="%", MIN('General Project Info'!$K$20*'Scenarios &amp; Measures'!$Z$10^'Scenarios &amp; Measures'!FY$13, 'General Project Info'!$K$24), 0)</f>
        <v>0</v>
      </c>
      <c r="CB10" s="12">
        <f>IF('General Project Info'!$L$22="%", MIN('General Project Info'!$K$20*'Scenarios &amp; Measures'!$Z$10^'Scenarios &amp; Measures'!FZ$13, 'General Project Info'!$K$24), 0)</f>
        <v>0</v>
      </c>
      <c r="CC10" s="12">
        <f>IF('General Project Info'!$L$22="%", MIN('General Project Info'!$K$20*'Scenarios &amp; Measures'!$Z$10^'Scenarios &amp; Measures'!GA$13, 'General Project Info'!$K$24), 0)</f>
        <v>0</v>
      </c>
      <c r="CD10" s="12">
        <f>IF('General Project Info'!$L$22="%", MIN('General Project Info'!$K$20*'Scenarios &amp; Measures'!$Z$10^'Scenarios &amp; Measures'!GB$13, 'General Project Info'!$K$24), 0)</f>
        <v>0</v>
      </c>
      <c r="CE10" s="12">
        <f>IF('General Project Info'!$L$22="%", MIN('General Project Info'!$K$20*'Scenarios &amp; Measures'!$Z$10^'Scenarios &amp; Measures'!GC$13, 'General Project Info'!$K$24), 0)</f>
        <v>0</v>
      </c>
      <c r="CF10" s="12">
        <f>IF('General Project Info'!$L$22="%", MIN('General Project Info'!$K$20*'Scenarios &amp; Measures'!$Z$10^'Scenarios &amp; Measures'!GD$13, 'General Project Info'!$K$24), 0)</f>
        <v>0</v>
      </c>
      <c r="CG10" s="12">
        <f>IF('General Project Info'!$L$22="%", MIN('General Project Info'!$K$20*'Scenarios &amp; Measures'!$Z$10^'Scenarios &amp; Measures'!GE$13, 'General Project Info'!$K$24), 0)</f>
        <v>0</v>
      </c>
      <c r="CH10" s="12">
        <f>IF('General Project Info'!$L$22="%", MIN('General Project Info'!$K$20*'Scenarios &amp; Measures'!$Z$10^'Scenarios &amp; Measures'!GF$13, 'General Project Info'!$K$24), 0)</f>
        <v>0</v>
      </c>
      <c r="CI10" s="12">
        <f>IF('General Project Info'!$L$22="%", MIN('General Project Info'!$K$20*'Scenarios &amp; Measures'!$Z$10^'Scenarios &amp; Measures'!GG$13, 'General Project Info'!$K$24), 0)</f>
        <v>0</v>
      </c>
      <c r="CJ10" s="12">
        <f>IF('General Project Info'!$L$22="%", MIN('General Project Info'!$K$20*'Scenarios &amp; Measures'!$Z$10^'Scenarios &amp; Measures'!GH$13, 'General Project Info'!$K$24), 0)</f>
        <v>0</v>
      </c>
      <c r="CK10" s="12">
        <f>IF('General Project Info'!$L$22="%", MIN('General Project Info'!$K$20*'Scenarios &amp; Measures'!$Z$10^'Scenarios &amp; Measures'!GI$13, 'General Project Info'!$K$24), 0)</f>
        <v>0</v>
      </c>
      <c r="CL10" s="12">
        <f>IF('General Project Info'!$L$22="%", MIN('General Project Info'!$K$20*'Scenarios &amp; Measures'!$Z$10^'Scenarios &amp; Measures'!GJ$13, 'General Project Info'!$K$24), 0)</f>
        <v>0</v>
      </c>
      <c r="CM10" s="12">
        <f>IF('General Project Info'!$L$22="%", MIN('General Project Info'!$K$20*'Scenarios &amp; Measures'!$Z$10^'Scenarios &amp; Measures'!GK$13, 'General Project Info'!$K$24), 0)</f>
        <v>0</v>
      </c>
      <c r="CN10" s="12">
        <f>IF('General Project Info'!$L$22="%", MIN('General Project Info'!$K$20*'Scenarios &amp; Measures'!$Z$10^'Scenarios &amp; Measures'!GL$13, 'General Project Info'!$K$24), 0)</f>
        <v>0</v>
      </c>
      <c r="CO10" s="12">
        <f>IF('General Project Info'!$L$22="%", MIN('General Project Info'!$K$20*'Scenarios &amp; Measures'!$Z$10^'Scenarios &amp; Measures'!GM$13, 'General Project Info'!$K$24), 0)</f>
        <v>0</v>
      </c>
      <c r="CP10" s="12">
        <f>IF('General Project Info'!$L$22="%", MIN('General Project Info'!$K$20*'Scenarios &amp; Measures'!$Z$10^'Scenarios &amp; Measures'!GN$13, 'General Project Info'!$K$24), 0)</f>
        <v>0</v>
      </c>
      <c r="CQ10" s="12">
        <f>IF('General Project Info'!$L$22="%", MIN('General Project Info'!$K$20*'Scenarios &amp; Measures'!$Z$10^'Scenarios &amp; Measures'!GO$13, 'General Project Info'!$K$24), 0)</f>
        <v>0</v>
      </c>
      <c r="CR10" s="12">
        <f>IF('General Project Info'!$L$22="%", MIN('General Project Info'!$K$20*'Scenarios &amp; Measures'!$Z$10^'Scenarios &amp; Measures'!GP$13, 'General Project Info'!$K$24), 0)</f>
        <v>0</v>
      </c>
      <c r="CS10" s="12">
        <f>IF('General Project Info'!$L$22="%", MIN('General Project Info'!$K$20*'Scenarios &amp; Measures'!$Z$10^'Scenarios &amp; Measures'!GQ$13, 'General Project Info'!$K$24), 0)</f>
        <v>0</v>
      </c>
      <c r="CT10" s="12">
        <f>IF('General Project Info'!$L$22="%", MIN('General Project Info'!$K$20*'Scenarios &amp; Measures'!$Z$10^'Scenarios &amp; Measures'!GR$13, 'General Project Info'!$K$24), 0)</f>
        <v>0</v>
      </c>
      <c r="CU10" s="12">
        <f>IF('General Project Info'!$L$22="%", MIN('General Project Info'!$K$20*'Scenarios &amp; Measures'!$Z$10^'Scenarios &amp; Measures'!GS$13, 'General Project Info'!$K$24), 0)</f>
        <v>0</v>
      </c>
      <c r="CV10" s="12">
        <f>IF('General Project Info'!$L$22="%", MIN('General Project Info'!$K$20*'Scenarios &amp; Measures'!$Z$10^'Scenarios &amp; Measures'!GT$13, 'General Project Info'!$K$24), 0)</f>
        <v>0</v>
      </c>
      <c r="CW10" s="12">
        <f>IF('General Project Info'!$L$22="%", MIN('General Project Info'!$K$20*'Scenarios &amp; Measures'!$Z$10^'Scenarios &amp; Measures'!GU$13, 'General Project Info'!$K$24), 0)</f>
        <v>0</v>
      </c>
      <c r="CX10" s="12">
        <f>IF('General Project Info'!$L$22="%", MIN('General Project Info'!$K$20*'Scenarios &amp; Measures'!$Z$10^'Scenarios &amp; Measures'!GV$13, 'General Project Info'!$K$24), 0)</f>
        <v>0</v>
      </c>
      <c r="CY10" s="12">
        <f>IF('General Project Info'!$L$22="%", MIN('General Project Info'!$K$20*'Scenarios &amp; Measures'!$Z$10^'Scenarios &amp; Measures'!GW$13, 'General Project Info'!$K$24), 0)</f>
        <v>0</v>
      </c>
      <c r="CZ10" s="12">
        <f>IF('General Project Info'!$L$22="%", MIN('General Project Info'!$K$20*'Scenarios &amp; Measures'!$Z$10^'Scenarios &amp; Measures'!GX$13, 'General Project Info'!$K$24), 0)</f>
        <v>0</v>
      </c>
      <c r="DA10" s="12">
        <f>IF('General Project Info'!$L$22="%", MIN('General Project Info'!$K$20*'Scenarios &amp; Measures'!$Z$10^'Scenarios &amp; Measures'!GY$13, 'General Project Info'!$K$24), 0)</f>
        <v>0</v>
      </c>
      <c r="DB10" s="12">
        <f>IF('General Project Info'!$L$22="%", MIN('General Project Info'!$K$20*'Scenarios &amp; Measures'!$Z$10^'Scenarios &amp; Measures'!GZ$13, 'General Project Info'!$K$24), 0)</f>
        <v>0</v>
      </c>
      <c r="DC10" s="12">
        <f>IF('General Project Info'!$L$22="%", MIN('General Project Info'!$K$20*'Scenarios &amp; Measures'!$Z$10^'Scenarios &amp; Measures'!HA$13, 'General Project Info'!$K$24), 0)</f>
        <v>0</v>
      </c>
      <c r="DD10" s="12">
        <f>IF('General Project Info'!$L$22="%", MIN('General Project Info'!$K$20*'Scenarios &amp; Measures'!$Z$10^'Scenarios &amp; Measures'!HB$13, 'General Project Info'!$K$24), 0)</f>
        <v>0</v>
      </c>
      <c r="DE10" s="12">
        <f>IF('General Project Info'!$L$22="%", MIN('General Project Info'!$K$20*'Scenarios &amp; Measures'!$Z$10^'Scenarios &amp; Measures'!HC$13, 'General Project Info'!$K$24), 0)</f>
        <v>0</v>
      </c>
      <c r="DF10" s="12">
        <f>IF('General Project Info'!$L$22="%", MIN('General Project Info'!$K$20*'Scenarios &amp; Measures'!$Z$10^'Scenarios &amp; Measures'!HD$13, 'General Project Info'!$K$24), 0)</f>
        <v>0</v>
      </c>
      <c r="DG10" s="12">
        <f>IF('General Project Info'!$L$22="%", MIN('General Project Info'!$K$20*'Scenarios &amp; Measures'!$Z$10^'Scenarios &amp; Measures'!HE$13, 'General Project Info'!$K$24), 0)</f>
        <v>0</v>
      </c>
      <c r="DH10" s="12">
        <f>IF('General Project Info'!$L$22="%", MIN('General Project Info'!$K$20*'Scenarios &amp; Measures'!$Z$10^'Scenarios &amp; Measures'!HF$13, 'General Project Info'!$K$24), 0)</f>
        <v>0</v>
      </c>
      <c r="DI10" s="12">
        <f>IF('General Project Info'!$L$22="%", MIN('General Project Info'!$K$20*'Scenarios &amp; Measures'!$Z$10^'Scenarios &amp; Measures'!HG$13, 'General Project Info'!$K$24), 0)</f>
        <v>0</v>
      </c>
      <c r="DJ10" s="12">
        <f>IF('General Project Info'!$L$22="%", MIN('General Project Info'!$K$20*'Scenarios &amp; Measures'!$Z$10^'Scenarios &amp; Measures'!HH$13, 'General Project Info'!$K$24), 0)</f>
        <v>0</v>
      </c>
      <c r="DK10" s="12">
        <f>IF('General Project Info'!$L$22="%", MIN('General Project Info'!$K$20*'Scenarios &amp; Measures'!$Z$10^'Scenarios &amp; Measures'!HI$13, 'General Project Info'!$K$24), 0)</f>
        <v>0</v>
      </c>
      <c r="DL10" s="12">
        <f>IF('General Project Info'!$L$22="%", MIN('General Project Info'!$K$20*'Scenarios &amp; Measures'!$Z$10^'Scenarios &amp; Measures'!HJ$13, 'General Project Info'!$K$24), 0)</f>
        <v>0</v>
      </c>
      <c r="DM10" s="12">
        <f>IF('General Project Info'!$L$22="%", MIN('General Project Info'!$K$20*'Scenarios &amp; Measures'!$Z$10^'Scenarios &amp; Measures'!HK$13, 'General Project Info'!$K$24), 0)</f>
        <v>0</v>
      </c>
      <c r="DN10" s="12">
        <f>IF('General Project Info'!$L$22="%", MIN('General Project Info'!$K$20*'Scenarios &amp; Measures'!$Z$10^'Scenarios &amp; Measures'!HL$13, 'General Project Info'!$K$24), 0)</f>
        <v>0</v>
      </c>
      <c r="DO10" s="12">
        <f>IF('General Project Info'!$L$22="%", MIN('General Project Info'!$K$20*'Scenarios &amp; Measures'!$Z$10^'Scenarios &amp; Measures'!HM$13, 'General Project Info'!$K$24), 0)</f>
        <v>0</v>
      </c>
      <c r="DP10" s="12">
        <f>IF('General Project Info'!$L$22="%", MIN('General Project Info'!$K$20*'Scenarios &amp; Measures'!$Z$10^'Scenarios &amp; Measures'!HN$13, 'General Project Info'!$K$24), 0)</f>
        <v>0</v>
      </c>
      <c r="DQ10" s="12">
        <f>IF('General Project Info'!$L$22="%", MIN('General Project Info'!$K$20*'Scenarios &amp; Measures'!$Z$10^'Scenarios &amp; Measures'!HO$13, 'General Project Info'!$K$24), 0)</f>
        <v>0</v>
      </c>
      <c r="DR10" s="12">
        <f>IF('General Project Info'!$L$22="%", MIN('General Project Info'!$K$20*'Scenarios &amp; Measures'!$Z$10^'Scenarios &amp; Measures'!HP$13, 'General Project Info'!$K$24), 0)</f>
        <v>0</v>
      </c>
      <c r="DS10" s="12">
        <f>IF('General Project Info'!$L$22="%", MIN('General Project Info'!$K$20*'Scenarios &amp; Measures'!$Z$10^'Scenarios &amp; Measures'!HQ$13, 'General Project Info'!$K$24), 0)</f>
        <v>0</v>
      </c>
      <c r="DT10" s="12">
        <f>IF('General Project Info'!$L$22="%", MIN('General Project Info'!$K$20*'Scenarios &amp; Measures'!$Z$10^'Scenarios &amp; Measures'!HR$13, 'General Project Info'!$K$24), 0)</f>
        <v>0</v>
      </c>
      <c r="DU10" s="12">
        <f>IF('General Project Info'!$L$22="%", MIN('General Project Info'!$K$20*'Scenarios &amp; Measures'!$Z$10^'Scenarios &amp; Measures'!HS$13, 'General Project Info'!$K$24), 0)</f>
        <v>0</v>
      </c>
      <c r="DV10" s="12">
        <f>IF('General Project Info'!$L$22="%", MIN('General Project Info'!$K$20*'Scenarios &amp; Measures'!$Z$10^'Scenarios &amp; Measures'!HT$13, 'General Project Info'!$K$24), 0)</f>
        <v>0</v>
      </c>
      <c r="DW10" s="12">
        <f>IF('General Project Info'!$L$22="%", MIN('General Project Info'!$K$20*'Scenarios &amp; Measures'!$Z$10^'Scenarios &amp; Measures'!HU$13, 'General Project Info'!$K$24), 0)</f>
        <v>0</v>
      </c>
      <c r="DX10" s="12">
        <f>IF('General Project Info'!$L$22="%", MIN('General Project Info'!$K$20*'Scenarios &amp; Measures'!$Z$10^'Scenarios &amp; Measures'!HV$13, 'General Project Info'!$K$24), 0)</f>
        <v>0</v>
      </c>
      <c r="DY10" s="12">
        <f>IF('General Project Info'!$L$22="%", MIN('General Project Info'!$K$20*'Scenarios &amp; Measures'!$Z$10^'Scenarios &amp; Measures'!HW$13, 'General Project Info'!$K$24), 0)</f>
        <v>0</v>
      </c>
      <c r="DZ10" s="12">
        <f>IF('General Project Info'!$L$22="%", MIN('General Project Info'!$K$20*'Scenarios &amp; Measures'!$Z$10^'Scenarios &amp; Measures'!HX$13, 'General Project Info'!$K$24), 0)</f>
        <v>0</v>
      </c>
      <c r="EA10" s="12">
        <f>IF('General Project Info'!$L$22="%", MIN('General Project Info'!$K$20*'Scenarios &amp; Measures'!$Z$10^'Scenarios &amp; Measures'!HY$13, 'General Project Info'!$K$24), 0)</f>
        <v>0</v>
      </c>
      <c r="EB10" s="12">
        <f>IF('General Project Info'!$L$22="%", MIN('General Project Info'!$K$20*'Scenarios &amp; Measures'!$Z$10^'Scenarios &amp; Measures'!HZ$13, 'General Project Info'!$K$24), 0)</f>
        <v>0</v>
      </c>
      <c r="EC10" s="12">
        <f>IF('General Project Info'!$L$22="%", MIN('General Project Info'!$K$20*'Scenarios &amp; Measures'!$Z$10^'Scenarios &amp; Measures'!IA$13, 'General Project Info'!$K$24), 0)</f>
        <v>0</v>
      </c>
      <c r="ED10" s="12">
        <f>IF('General Project Info'!$L$22="%", MIN('General Project Info'!$K$20*'Scenarios &amp; Measures'!$Z$10^'Scenarios &amp; Measures'!IB$13, 'General Project Info'!$K$24), 0)</f>
        <v>0</v>
      </c>
      <c r="EE10" s="12">
        <f>IF('General Project Info'!$L$22="%", MIN('General Project Info'!$K$20*'Scenarios &amp; Measures'!$Z$10^'Scenarios &amp; Measures'!IC$13, 'General Project Info'!$K$24), 0)</f>
        <v>0</v>
      </c>
      <c r="EF10" s="12">
        <f>IF('General Project Info'!$L$22="%", MIN('General Project Info'!$K$20*'Scenarios &amp; Measures'!$Z$10^'Scenarios &amp; Measures'!ID$13, 'General Project Info'!$K$24), 0)</f>
        <v>0</v>
      </c>
      <c r="EG10" s="12">
        <f>IF('General Project Info'!$L$22="%", MIN('General Project Info'!$K$20*'Scenarios &amp; Measures'!$Z$10^'Scenarios &amp; Measures'!IE$13, 'General Project Info'!$K$24), 0)</f>
        <v>0</v>
      </c>
      <c r="EH10" s="12">
        <f>IF('General Project Info'!$L$22="%", MIN('General Project Info'!$K$20*'Scenarios &amp; Measures'!$Z$10^'Scenarios &amp; Measures'!IF$13, 'General Project Info'!$K$24), 0)</f>
        <v>0</v>
      </c>
      <c r="EI10" s="12">
        <f>IF('General Project Info'!$L$22="%", MIN('General Project Info'!$K$20*'Scenarios &amp; Measures'!$Z$10^'Scenarios &amp; Measures'!IG$13, 'General Project Info'!$K$24), 0)</f>
        <v>0</v>
      </c>
      <c r="EJ10" s="12">
        <f>IF('General Project Info'!$L$22="%", MIN('General Project Info'!$K$20*'Scenarios &amp; Measures'!$Z$10^'Scenarios &amp; Measures'!IH$13, 'General Project Info'!$K$24), 0)</f>
        <v>0</v>
      </c>
    </row>
    <row r="11" spans="1:348" x14ac:dyDescent="0.35">
      <c r="A11" s="132"/>
      <c r="B11" s="27"/>
      <c r="C11" s="28" t="s">
        <v>27</v>
      </c>
      <c r="E11" s="169"/>
      <c r="F11" s="169"/>
      <c r="G11" s="169"/>
      <c r="H11" s="62"/>
      <c r="I11" s="56" t="s">
        <v>438</v>
      </c>
      <c r="J11" s="102" t="s">
        <v>439</v>
      </c>
      <c r="K11" s="27"/>
      <c r="L11" s="27"/>
      <c r="M11" s="27"/>
      <c r="N11" s="27"/>
      <c r="O11" s="27"/>
      <c r="P11" s="27"/>
      <c r="Q11" s="27"/>
      <c r="R11" s="132"/>
      <c r="U11" t="s">
        <v>257</v>
      </c>
      <c r="V11">
        <f>VLOOKUP("RECs", 'General Project Info'!$R$30:$W$40, 3, FALSE)</f>
        <v>0.01</v>
      </c>
      <c r="W11" t="s">
        <v>255</v>
      </c>
      <c r="X11">
        <f>VLOOKUP("RECs", 'General Project Info'!$R$30:$W$40, 6, FALSE)</f>
        <v>1.03</v>
      </c>
      <c r="Y11" t="s">
        <v>244</v>
      </c>
      <c r="Z11">
        <f>1+'General Project Info'!$F$24/100</f>
        <v>1.02</v>
      </c>
      <c r="AA11" t="s">
        <v>391</v>
      </c>
      <c r="AE11">
        <f>SUMIF(T14:T27, "Yes", X14:X27)/SUM(X14:X27)</f>
        <v>0</v>
      </c>
      <c r="AM11" t="s">
        <v>259</v>
      </c>
      <c r="AN11">
        <f t="shared" ref="AN11:BS11" si="0">IF(EL$13&gt;=$X$10, 0, AN9+AN10)</f>
        <v>20</v>
      </c>
      <c r="AO11">
        <f t="shared" si="0"/>
        <v>20</v>
      </c>
      <c r="AP11">
        <f t="shared" si="0"/>
        <v>20</v>
      </c>
      <c r="AQ11">
        <f t="shared" si="0"/>
        <v>20</v>
      </c>
      <c r="AR11">
        <f t="shared" si="0"/>
        <v>20</v>
      </c>
      <c r="AS11">
        <f t="shared" si="0"/>
        <v>20</v>
      </c>
      <c r="AT11">
        <f t="shared" si="0"/>
        <v>20</v>
      </c>
      <c r="AU11">
        <f t="shared" si="0"/>
        <v>20</v>
      </c>
      <c r="AV11">
        <f t="shared" si="0"/>
        <v>20</v>
      </c>
      <c r="AW11">
        <f t="shared" si="0"/>
        <v>20</v>
      </c>
      <c r="AX11">
        <f t="shared" si="0"/>
        <v>20</v>
      </c>
      <c r="AY11">
        <f t="shared" si="0"/>
        <v>20</v>
      </c>
      <c r="AZ11">
        <f t="shared" si="0"/>
        <v>20</v>
      </c>
      <c r="BA11">
        <f t="shared" si="0"/>
        <v>20</v>
      </c>
      <c r="BB11">
        <f t="shared" si="0"/>
        <v>20</v>
      </c>
      <c r="BC11">
        <f t="shared" si="0"/>
        <v>20</v>
      </c>
      <c r="BD11">
        <f t="shared" si="0"/>
        <v>20</v>
      </c>
      <c r="BE11">
        <f t="shared" si="0"/>
        <v>20</v>
      </c>
      <c r="BF11">
        <f t="shared" si="0"/>
        <v>20</v>
      </c>
      <c r="BG11">
        <f t="shared" si="0"/>
        <v>20</v>
      </c>
      <c r="BH11">
        <f t="shared" si="0"/>
        <v>20</v>
      </c>
      <c r="BI11">
        <f t="shared" si="0"/>
        <v>20</v>
      </c>
      <c r="BJ11">
        <f t="shared" si="0"/>
        <v>20</v>
      </c>
      <c r="BK11">
        <f t="shared" si="0"/>
        <v>20</v>
      </c>
      <c r="BL11">
        <f t="shared" si="0"/>
        <v>20</v>
      </c>
      <c r="BM11">
        <f t="shared" si="0"/>
        <v>20</v>
      </c>
      <c r="BN11">
        <f t="shared" si="0"/>
        <v>20</v>
      </c>
      <c r="BO11">
        <f t="shared" si="0"/>
        <v>20</v>
      </c>
      <c r="BP11">
        <f t="shared" si="0"/>
        <v>20</v>
      </c>
      <c r="BQ11">
        <f t="shared" si="0"/>
        <v>20</v>
      </c>
      <c r="BR11">
        <f t="shared" si="0"/>
        <v>20</v>
      </c>
      <c r="BS11">
        <f t="shared" si="0"/>
        <v>20</v>
      </c>
      <c r="BT11">
        <f t="shared" ref="BT11:CY11" si="1">IF(FR$13&gt;=$X$10, 0, BT9+BT10)</f>
        <v>20</v>
      </c>
      <c r="BU11">
        <f t="shared" si="1"/>
        <v>20</v>
      </c>
      <c r="BV11">
        <f t="shared" si="1"/>
        <v>20</v>
      </c>
      <c r="BW11">
        <f t="shared" si="1"/>
        <v>20</v>
      </c>
      <c r="BX11">
        <f t="shared" si="1"/>
        <v>20</v>
      </c>
      <c r="BY11">
        <f t="shared" si="1"/>
        <v>20</v>
      </c>
      <c r="BZ11">
        <f t="shared" si="1"/>
        <v>20</v>
      </c>
      <c r="CA11">
        <f t="shared" si="1"/>
        <v>20</v>
      </c>
      <c r="CB11">
        <f t="shared" si="1"/>
        <v>20</v>
      </c>
      <c r="CC11">
        <f t="shared" si="1"/>
        <v>20</v>
      </c>
      <c r="CD11">
        <f t="shared" si="1"/>
        <v>20</v>
      </c>
      <c r="CE11">
        <f t="shared" si="1"/>
        <v>20</v>
      </c>
      <c r="CF11">
        <f t="shared" si="1"/>
        <v>20</v>
      </c>
      <c r="CG11">
        <f t="shared" si="1"/>
        <v>20</v>
      </c>
      <c r="CH11">
        <f t="shared" si="1"/>
        <v>20</v>
      </c>
      <c r="CI11">
        <f t="shared" si="1"/>
        <v>20</v>
      </c>
      <c r="CJ11">
        <f t="shared" si="1"/>
        <v>20</v>
      </c>
      <c r="CK11">
        <f t="shared" si="1"/>
        <v>20</v>
      </c>
      <c r="CL11">
        <f t="shared" si="1"/>
        <v>20</v>
      </c>
      <c r="CM11">
        <f t="shared" si="1"/>
        <v>20</v>
      </c>
      <c r="CN11">
        <f t="shared" si="1"/>
        <v>20</v>
      </c>
      <c r="CO11">
        <f t="shared" si="1"/>
        <v>20</v>
      </c>
      <c r="CP11">
        <f t="shared" si="1"/>
        <v>20</v>
      </c>
      <c r="CQ11">
        <f t="shared" si="1"/>
        <v>20</v>
      </c>
      <c r="CR11">
        <f t="shared" si="1"/>
        <v>20</v>
      </c>
      <c r="CS11">
        <f t="shared" si="1"/>
        <v>20</v>
      </c>
      <c r="CT11">
        <f t="shared" si="1"/>
        <v>20</v>
      </c>
      <c r="CU11">
        <f t="shared" si="1"/>
        <v>20</v>
      </c>
      <c r="CV11">
        <f t="shared" si="1"/>
        <v>20</v>
      </c>
      <c r="CW11">
        <f t="shared" si="1"/>
        <v>20</v>
      </c>
      <c r="CX11">
        <f t="shared" si="1"/>
        <v>20</v>
      </c>
      <c r="CY11">
        <f t="shared" si="1"/>
        <v>20</v>
      </c>
      <c r="CZ11">
        <f t="shared" ref="CZ11:EE11" si="2">IF(GX$13&gt;=$X$10, 0, CZ9+CZ10)</f>
        <v>20</v>
      </c>
      <c r="DA11">
        <f t="shared" si="2"/>
        <v>20</v>
      </c>
      <c r="DB11">
        <f t="shared" si="2"/>
        <v>20</v>
      </c>
      <c r="DC11">
        <f t="shared" si="2"/>
        <v>20</v>
      </c>
      <c r="DD11">
        <f t="shared" si="2"/>
        <v>20</v>
      </c>
      <c r="DE11">
        <f t="shared" si="2"/>
        <v>20</v>
      </c>
      <c r="DF11">
        <f t="shared" si="2"/>
        <v>20</v>
      </c>
      <c r="DG11">
        <f t="shared" si="2"/>
        <v>20</v>
      </c>
      <c r="DH11">
        <f t="shared" si="2"/>
        <v>20</v>
      </c>
      <c r="DI11">
        <f t="shared" si="2"/>
        <v>20</v>
      </c>
      <c r="DJ11">
        <f t="shared" si="2"/>
        <v>20</v>
      </c>
      <c r="DK11">
        <f t="shared" si="2"/>
        <v>20</v>
      </c>
      <c r="DL11">
        <f t="shared" si="2"/>
        <v>20</v>
      </c>
      <c r="DM11">
        <f t="shared" si="2"/>
        <v>20</v>
      </c>
      <c r="DN11">
        <f t="shared" si="2"/>
        <v>20</v>
      </c>
      <c r="DO11">
        <f t="shared" si="2"/>
        <v>20</v>
      </c>
      <c r="DP11">
        <f t="shared" si="2"/>
        <v>20</v>
      </c>
      <c r="DQ11">
        <f t="shared" si="2"/>
        <v>20</v>
      </c>
      <c r="DR11">
        <f t="shared" si="2"/>
        <v>20</v>
      </c>
      <c r="DS11">
        <f t="shared" si="2"/>
        <v>20</v>
      </c>
      <c r="DT11">
        <f t="shared" si="2"/>
        <v>20</v>
      </c>
      <c r="DU11">
        <f t="shared" si="2"/>
        <v>20</v>
      </c>
      <c r="DV11">
        <f t="shared" si="2"/>
        <v>20</v>
      </c>
      <c r="DW11">
        <f t="shared" si="2"/>
        <v>20</v>
      </c>
      <c r="DX11">
        <f t="shared" si="2"/>
        <v>20</v>
      </c>
      <c r="DY11">
        <f t="shared" si="2"/>
        <v>20</v>
      </c>
      <c r="DZ11">
        <f t="shared" si="2"/>
        <v>20</v>
      </c>
      <c r="EA11">
        <f t="shared" si="2"/>
        <v>20</v>
      </c>
      <c r="EB11">
        <f t="shared" si="2"/>
        <v>20</v>
      </c>
      <c r="EC11">
        <f t="shared" si="2"/>
        <v>20</v>
      </c>
      <c r="ED11">
        <f t="shared" si="2"/>
        <v>20</v>
      </c>
      <c r="EE11">
        <f t="shared" si="2"/>
        <v>20</v>
      </c>
      <c r="EF11">
        <f t="shared" ref="EF11:EJ11" si="3">IF(ID$13&gt;=$X$10, 0, EF9+EF10)</f>
        <v>20</v>
      </c>
      <c r="EG11">
        <f t="shared" si="3"/>
        <v>20</v>
      </c>
      <c r="EH11">
        <f t="shared" si="3"/>
        <v>20</v>
      </c>
      <c r="EI11">
        <f t="shared" si="3"/>
        <v>20</v>
      </c>
      <c r="EJ11">
        <f t="shared" si="3"/>
        <v>20</v>
      </c>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row>
    <row r="12" spans="1:348" x14ac:dyDescent="0.35">
      <c r="A12" s="132"/>
      <c r="B12" s="27"/>
      <c r="C12" s="27"/>
      <c r="D12" s="27"/>
      <c r="E12" s="27"/>
      <c r="F12" s="27"/>
      <c r="G12" s="27"/>
      <c r="H12" s="27"/>
      <c r="I12" s="27"/>
      <c r="J12" s="27"/>
      <c r="K12" s="27"/>
      <c r="L12" s="27"/>
      <c r="M12" s="27"/>
      <c r="N12" s="27"/>
      <c r="O12" s="27"/>
      <c r="P12" s="27"/>
      <c r="Q12" s="27"/>
      <c r="R12" s="132"/>
      <c r="U12" t="s">
        <v>258</v>
      </c>
      <c r="V12">
        <f>VLOOKUP("Carbon_Offset", 'General Project Info'!$R$30:$W$40, 2, FALSE)</f>
        <v>0.02</v>
      </c>
      <c r="W12" t="s">
        <v>256</v>
      </c>
      <c r="X12">
        <f>VLOOKUP("Carbon_Offset", 'General Project Info'!$R$30:$W$40, 6, FALSE)</f>
        <v>1.04</v>
      </c>
      <c r="Y12" t="s">
        <v>245</v>
      </c>
      <c r="Z12">
        <f>1+'General Project Info'!$F$22/100</f>
        <v>1.03</v>
      </c>
      <c r="AA12" t="s">
        <v>469</v>
      </c>
      <c r="AE12" s="74">
        <f>SUMPRODUCT(H14:H27, U14:U27)/SUM(H14:H27)</f>
        <v>1.02</v>
      </c>
      <c r="AM12" t="s">
        <v>299</v>
      </c>
      <c r="AN12">
        <f>(1/$Z$12)^AN13</f>
        <v>1</v>
      </c>
      <c r="AO12">
        <f>(1/$Z$12)^AO13</f>
        <v>0.970873786407767</v>
      </c>
      <c r="AP12">
        <f t="shared" ref="AP12:DA12" si="4">(1/$Z$12)^AP13</f>
        <v>0.94259590913375435</v>
      </c>
      <c r="AQ12">
        <f t="shared" si="4"/>
        <v>0.91514165935315961</v>
      </c>
      <c r="AR12">
        <f t="shared" si="4"/>
        <v>0.88848704791568889</v>
      </c>
      <c r="AS12">
        <f t="shared" si="4"/>
        <v>0.862608784384164</v>
      </c>
      <c r="AT12">
        <f t="shared" si="4"/>
        <v>0.83748425668365434</v>
      </c>
      <c r="AU12">
        <f t="shared" si="4"/>
        <v>0.81309151134335378</v>
      </c>
      <c r="AV12">
        <f t="shared" si="4"/>
        <v>0.78940923431393561</v>
      </c>
      <c r="AW12">
        <f t="shared" si="4"/>
        <v>0.76641673234362684</v>
      </c>
      <c r="AX12">
        <f t="shared" si="4"/>
        <v>0.74409391489672505</v>
      </c>
      <c r="AY12">
        <f t="shared" si="4"/>
        <v>0.72242127659876221</v>
      </c>
      <c r="AZ12">
        <f t="shared" si="4"/>
        <v>0.70137988019297304</v>
      </c>
      <c r="BA12">
        <f t="shared" si="4"/>
        <v>0.6809513399931777</v>
      </c>
      <c r="BB12">
        <f t="shared" si="4"/>
        <v>0.66111780581861912</v>
      </c>
      <c r="BC12">
        <f t="shared" si="4"/>
        <v>0.64186194739671765</v>
      </c>
      <c r="BD12">
        <f t="shared" si="4"/>
        <v>0.62316693922011412</v>
      </c>
      <c r="BE12">
        <f t="shared" si="4"/>
        <v>0.60501644584477099</v>
      </c>
      <c r="BF12">
        <f t="shared" si="4"/>
        <v>0.58739460761628248</v>
      </c>
      <c r="BG12">
        <f t="shared" si="4"/>
        <v>0.57028602681192475</v>
      </c>
      <c r="BH12">
        <f t="shared" si="4"/>
        <v>0.55367575418633475</v>
      </c>
      <c r="BI12">
        <f t="shared" si="4"/>
        <v>0.53754927590906287</v>
      </c>
      <c r="BJ12">
        <f t="shared" si="4"/>
        <v>0.52189250088258532</v>
      </c>
      <c r="BK12">
        <f t="shared" si="4"/>
        <v>0.50669174842969444</v>
      </c>
      <c r="BL12">
        <f t="shared" si="4"/>
        <v>0.49193373633950915</v>
      </c>
      <c r="BM12">
        <f t="shared" si="4"/>
        <v>0.47760556926165937</v>
      </c>
      <c r="BN12">
        <f t="shared" si="4"/>
        <v>0.46369472743850421</v>
      </c>
      <c r="BO12">
        <f t="shared" si="4"/>
        <v>0.45018905576553808</v>
      </c>
      <c r="BP12">
        <f t="shared" si="4"/>
        <v>0.43707675317042538</v>
      </c>
      <c r="BQ12">
        <f t="shared" si="4"/>
        <v>0.42434636230138384</v>
      </c>
      <c r="BR12">
        <f t="shared" si="4"/>
        <v>0.41198675951590663</v>
      </c>
      <c r="BS12">
        <f t="shared" si="4"/>
        <v>0.39998714516107442</v>
      </c>
      <c r="BT12">
        <f t="shared" si="4"/>
        <v>0.38833703413696541</v>
      </c>
      <c r="BU12">
        <f t="shared" si="4"/>
        <v>0.37702624673491786</v>
      </c>
      <c r="BV12">
        <f t="shared" si="4"/>
        <v>0.36604489974263871</v>
      </c>
      <c r="BW12">
        <f t="shared" si="4"/>
        <v>0.35538339780838712</v>
      </c>
      <c r="BX12">
        <f t="shared" si="4"/>
        <v>0.34503242505668652</v>
      </c>
      <c r="BY12">
        <f t="shared" si="4"/>
        <v>0.33498293694823933</v>
      </c>
      <c r="BZ12">
        <f t="shared" si="4"/>
        <v>0.32522615237693137</v>
      </c>
      <c r="CA12">
        <f t="shared" si="4"/>
        <v>0.31575354599702077</v>
      </c>
      <c r="CB12">
        <f t="shared" si="4"/>
        <v>0.30655684077380652</v>
      </c>
      <c r="CC12">
        <f t="shared" si="4"/>
        <v>0.2976280007512685</v>
      </c>
      <c r="CD12">
        <f t="shared" si="4"/>
        <v>0.28895922403035773</v>
      </c>
      <c r="CE12">
        <f t="shared" si="4"/>
        <v>0.28054293595180363</v>
      </c>
      <c r="CF12">
        <f t="shared" si="4"/>
        <v>0.27237178247747929</v>
      </c>
      <c r="CG12">
        <f t="shared" si="4"/>
        <v>0.26443862376454297</v>
      </c>
      <c r="CH12">
        <f t="shared" si="4"/>
        <v>0.25673652792674079</v>
      </c>
      <c r="CI12">
        <f t="shared" si="4"/>
        <v>0.24925876497741822</v>
      </c>
      <c r="CJ12">
        <f t="shared" si="4"/>
        <v>0.24199880094894971</v>
      </c>
      <c r="CK12">
        <f t="shared" si="4"/>
        <v>0.23495029218344632</v>
      </c>
      <c r="CL12">
        <f t="shared" si="4"/>
        <v>0.2281070797897537</v>
      </c>
      <c r="CM12">
        <f t="shared" si="4"/>
        <v>0.22146318426189679</v>
      </c>
      <c r="CN12">
        <f t="shared" si="4"/>
        <v>0.21501280025426875</v>
      </c>
      <c r="CO12">
        <f t="shared" si="4"/>
        <v>0.20875029150899879</v>
      </c>
      <c r="CP12">
        <f t="shared" si="4"/>
        <v>0.20267018593106678</v>
      </c>
      <c r="CQ12">
        <f t="shared" si="4"/>
        <v>0.19676717080686093</v>
      </c>
      <c r="CR12">
        <f t="shared" si="4"/>
        <v>0.19103608816200091</v>
      </c>
      <c r="CS12">
        <f t="shared" si="4"/>
        <v>0.18547193025436981</v>
      </c>
      <c r="CT12">
        <f t="shared" si="4"/>
        <v>0.18006983519841727</v>
      </c>
      <c r="CU12">
        <f t="shared" si="4"/>
        <v>0.17482508271691</v>
      </c>
      <c r="CV12">
        <f t="shared" si="4"/>
        <v>0.16973309001641748</v>
      </c>
      <c r="CW12">
        <f t="shared" si="4"/>
        <v>0.16478940778292958</v>
      </c>
      <c r="CX12">
        <f t="shared" si="4"/>
        <v>0.15998971629410638</v>
      </c>
      <c r="CY12">
        <f t="shared" si="4"/>
        <v>0.1553298216447635</v>
      </c>
      <c r="CZ12">
        <f t="shared" si="4"/>
        <v>0.15080565208229463</v>
      </c>
      <c r="DA12">
        <f t="shared" si="4"/>
        <v>0.14641325444882974</v>
      </c>
      <c r="DB12">
        <f t="shared" ref="DB12:EJ12" si="5">(1/$Z$12)^DB13</f>
        <v>0.14214879072701916</v>
      </c>
      <c r="DC12">
        <f t="shared" si="5"/>
        <v>0.13800853468642638</v>
      </c>
      <c r="DD12">
        <f t="shared" si="5"/>
        <v>0.1339888686275984</v>
      </c>
      <c r="DE12">
        <f t="shared" si="5"/>
        <v>0.13008628022096935</v>
      </c>
      <c r="DF12">
        <f t="shared" si="5"/>
        <v>0.12629735943783429</v>
      </c>
      <c r="DG12">
        <f t="shared" si="5"/>
        <v>0.12261879557071292</v>
      </c>
      <c r="DH12">
        <f t="shared" si="5"/>
        <v>0.11904737434049797</v>
      </c>
      <c r="DI12">
        <f t="shared" si="5"/>
        <v>0.11557997508786211</v>
      </c>
      <c r="DJ12">
        <f t="shared" si="5"/>
        <v>0.11221356804646807</v>
      </c>
      <c r="DK12">
        <f t="shared" si="5"/>
        <v>0.10894521169560006</v>
      </c>
      <c r="DL12">
        <f t="shared" si="5"/>
        <v>0.10577205018990297</v>
      </c>
      <c r="DM12">
        <f t="shared" si="5"/>
        <v>0.10269131086398348</v>
      </c>
      <c r="DN12">
        <f t="shared" si="5"/>
        <v>9.9700301809692693E-2</v>
      </c>
      <c r="DO12">
        <f t="shared" si="5"/>
        <v>9.6796409523973503E-2</v>
      </c>
      <c r="DP12">
        <f t="shared" si="5"/>
        <v>9.3977096625216971E-2</v>
      </c>
      <c r="DQ12">
        <f t="shared" si="5"/>
        <v>9.1239899636132979E-2</v>
      </c>
      <c r="DR12">
        <f t="shared" si="5"/>
        <v>8.8582426831197061E-2</v>
      </c>
      <c r="DS12">
        <f t="shared" si="5"/>
        <v>8.6002356146793274E-2</v>
      </c>
      <c r="DT12">
        <f t="shared" si="5"/>
        <v>8.3497433152226477E-2</v>
      </c>
      <c r="DU12">
        <f t="shared" si="5"/>
        <v>8.1065469079831531E-2</v>
      </c>
      <c r="DV12">
        <f t="shared" si="5"/>
        <v>7.8704338912457802E-2</v>
      </c>
      <c r="DW12">
        <f t="shared" si="5"/>
        <v>7.6411979526658055E-2</v>
      </c>
      <c r="DX12">
        <f t="shared" si="5"/>
        <v>7.4186387889959279E-2</v>
      </c>
      <c r="DY12">
        <f t="shared" si="5"/>
        <v>7.2025619310640068E-2</v>
      </c>
      <c r="DZ12">
        <f t="shared" si="5"/>
        <v>6.9927785738485501E-2</v>
      </c>
      <c r="EA12">
        <f t="shared" si="5"/>
        <v>6.7891054115034474E-2</v>
      </c>
      <c r="EB12">
        <f t="shared" si="5"/>
        <v>6.5913644771878138E-2</v>
      </c>
      <c r="EC12">
        <f t="shared" si="5"/>
        <v>6.3993829875609837E-2</v>
      </c>
      <c r="ED12">
        <f t="shared" si="5"/>
        <v>6.2129931918067802E-2</v>
      </c>
      <c r="EE12">
        <f t="shared" si="5"/>
        <v>6.0320322250551263E-2</v>
      </c>
      <c r="EF12">
        <f t="shared" si="5"/>
        <v>5.8563419660729379E-2</v>
      </c>
      <c r="EG12">
        <f t="shared" si="5"/>
        <v>5.685768899099939E-2</v>
      </c>
      <c r="EH12">
        <f t="shared" si="5"/>
        <v>5.5201639797086789E-2</v>
      </c>
      <c r="EI12">
        <f t="shared" si="5"/>
        <v>5.3593825045715339E-2</v>
      </c>
      <c r="EJ12">
        <f t="shared" si="5"/>
        <v>5.203283985020906E-2</v>
      </c>
    </row>
    <row r="13" spans="1:348" ht="29" x14ac:dyDescent="0.35">
      <c r="A13" s="132"/>
      <c r="B13" s="27"/>
      <c r="C13" s="168" t="s">
        <v>36</v>
      </c>
      <c r="D13" s="168"/>
      <c r="E13" s="133" t="s">
        <v>461</v>
      </c>
      <c r="F13" s="133" t="s">
        <v>462</v>
      </c>
      <c r="G13" s="133" t="s">
        <v>1</v>
      </c>
      <c r="H13" s="133" t="s">
        <v>405</v>
      </c>
      <c r="I13" s="133" t="s">
        <v>455</v>
      </c>
      <c r="J13" s="133" t="s">
        <v>456</v>
      </c>
      <c r="K13" s="133" t="s">
        <v>2</v>
      </c>
      <c r="L13" s="133" t="s">
        <v>404</v>
      </c>
      <c r="M13" s="133" t="s">
        <v>0</v>
      </c>
      <c r="N13" s="133" t="s">
        <v>24</v>
      </c>
      <c r="O13" s="133" t="s">
        <v>31</v>
      </c>
      <c r="P13" s="48" t="s">
        <v>22</v>
      </c>
      <c r="Q13" s="27"/>
      <c r="R13" s="132"/>
      <c r="T13" s="18" t="s">
        <v>249</v>
      </c>
      <c r="U13" s="18" t="s">
        <v>254</v>
      </c>
      <c r="V13" s="18" t="s">
        <v>261</v>
      </c>
      <c r="W13" s="18" t="s">
        <v>241</v>
      </c>
      <c r="X13" s="18" t="s">
        <v>240</v>
      </c>
      <c r="Y13" s="18" t="s">
        <v>264</v>
      </c>
      <c r="Z13" s="18" t="s">
        <v>265</v>
      </c>
      <c r="AA13" s="18" t="s">
        <v>388</v>
      </c>
      <c r="AB13" s="18" t="s">
        <v>389</v>
      </c>
      <c r="AC13" s="18" t="s">
        <v>390</v>
      </c>
      <c r="AD13" s="18" t="s">
        <v>465</v>
      </c>
      <c r="AE13" s="18" t="s">
        <v>262</v>
      </c>
      <c r="AF13" s="18" t="s">
        <v>266</v>
      </c>
      <c r="AG13" s="18" t="s">
        <v>267</v>
      </c>
      <c r="AH13" s="18" t="s">
        <v>263</v>
      </c>
      <c r="AI13" s="18" t="s">
        <v>277</v>
      </c>
      <c r="AJ13" s="18" t="s">
        <v>278</v>
      </c>
      <c r="AK13" s="18" t="s">
        <v>279</v>
      </c>
      <c r="AL13" s="18" t="s">
        <v>253</v>
      </c>
      <c r="AM13" s="18" t="s">
        <v>251</v>
      </c>
      <c r="AN13">
        <v>0</v>
      </c>
      <c r="AO13">
        <v>1</v>
      </c>
      <c r="AP13">
        <v>2</v>
      </c>
      <c r="AQ13">
        <v>3</v>
      </c>
      <c r="AR13">
        <v>4</v>
      </c>
      <c r="AS13">
        <v>5</v>
      </c>
      <c r="AT13">
        <v>6</v>
      </c>
      <c r="AU13">
        <v>7</v>
      </c>
      <c r="AV13">
        <v>8</v>
      </c>
      <c r="AW13">
        <v>9</v>
      </c>
      <c r="AX13">
        <v>10</v>
      </c>
      <c r="AY13">
        <v>11</v>
      </c>
      <c r="AZ13">
        <v>12</v>
      </c>
      <c r="BA13">
        <v>13</v>
      </c>
      <c r="BB13">
        <v>14</v>
      </c>
      <c r="BC13">
        <v>15</v>
      </c>
      <c r="BD13">
        <v>16</v>
      </c>
      <c r="BE13">
        <v>17</v>
      </c>
      <c r="BF13">
        <v>18</v>
      </c>
      <c r="BG13">
        <v>19</v>
      </c>
      <c r="BH13">
        <v>20</v>
      </c>
      <c r="BI13">
        <v>21</v>
      </c>
      <c r="BJ13">
        <v>22</v>
      </c>
      <c r="BK13">
        <v>23</v>
      </c>
      <c r="BL13">
        <v>24</v>
      </c>
      <c r="BM13">
        <v>25</v>
      </c>
      <c r="BN13">
        <v>26</v>
      </c>
      <c r="BO13">
        <v>27</v>
      </c>
      <c r="BP13">
        <v>28</v>
      </c>
      <c r="BQ13">
        <v>29</v>
      </c>
      <c r="BR13">
        <v>30</v>
      </c>
      <c r="BS13">
        <v>31</v>
      </c>
      <c r="BT13">
        <v>32</v>
      </c>
      <c r="BU13">
        <v>33</v>
      </c>
      <c r="BV13">
        <v>34</v>
      </c>
      <c r="BW13">
        <v>35</v>
      </c>
      <c r="BX13">
        <v>36</v>
      </c>
      <c r="BY13">
        <v>37</v>
      </c>
      <c r="BZ13">
        <v>38</v>
      </c>
      <c r="CA13">
        <v>39</v>
      </c>
      <c r="CB13">
        <v>40</v>
      </c>
      <c r="CC13">
        <v>41</v>
      </c>
      <c r="CD13">
        <v>42</v>
      </c>
      <c r="CE13">
        <v>43</v>
      </c>
      <c r="CF13">
        <v>44</v>
      </c>
      <c r="CG13">
        <v>45</v>
      </c>
      <c r="CH13">
        <v>46</v>
      </c>
      <c r="CI13">
        <v>47</v>
      </c>
      <c r="CJ13">
        <v>48</v>
      </c>
      <c r="CK13">
        <v>49</v>
      </c>
      <c r="CL13">
        <v>50</v>
      </c>
      <c r="CM13">
        <v>51</v>
      </c>
      <c r="CN13">
        <v>52</v>
      </c>
      <c r="CO13">
        <v>53</v>
      </c>
      <c r="CP13">
        <v>54</v>
      </c>
      <c r="CQ13">
        <v>55</v>
      </c>
      <c r="CR13">
        <v>56</v>
      </c>
      <c r="CS13">
        <v>57</v>
      </c>
      <c r="CT13">
        <v>58</v>
      </c>
      <c r="CU13">
        <v>59</v>
      </c>
      <c r="CV13">
        <v>60</v>
      </c>
      <c r="CW13">
        <v>61</v>
      </c>
      <c r="CX13">
        <v>62</v>
      </c>
      <c r="CY13">
        <v>63</v>
      </c>
      <c r="CZ13">
        <v>64</v>
      </c>
      <c r="DA13">
        <v>65</v>
      </c>
      <c r="DB13">
        <v>66</v>
      </c>
      <c r="DC13">
        <v>67</v>
      </c>
      <c r="DD13">
        <v>68</v>
      </c>
      <c r="DE13">
        <v>69</v>
      </c>
      <c r="DF13">
        <v>70</v>
      </c>
      <c r="DG13">
        <v>71</v>
      </c>
      <c r="DH13">
        <v>72</v>
      </c>
      <c r="DI13">
        <v>73</v>
      </c>
      <c r="DJ13">
        <v>74</v>
      </c>
      <c r="DK13">
        <v>75</v>
      </c>
      <c r="DL13">
        <v>76</v>
      </c>
      <c r="DM13">
        <v>77</v>
      </c>
      <c r="DN13">
        <v>78</v>
      </c>
      <c r="DO13">
        <v>79</v>
      </c>
      <c r="DP13">
        <v>80</v>
      </c>
      <c r="DQ13">
        <v>81</v>
      </c>
      <c r="DR13">
        <v>82</v>
      </c>
      <c r="DS13">
        <v>83</v>
      </c>
      <c r="DT13">
        <v>84</v>
      </c>
      <c r="DU13">
        <v>85</v>
      </c>
      <c r="DV13">
        <v>86</v>
      </c>
      <c r="DW13">
        <v>87</v>
      </c>
      <c r="DX13">
        <v>88</v>
      </c>
      <c r="DY13">
        <v>89</v>
      </c>
      <c r="DZ13">
        <v>90</v>
      </c>
      <c r="EA13">
        <v>91</v>
      </c>
      <c r="EB13">
        <v>92</v>
      </c>
      <c r="EC13">
        <v>93</v>
      </c>
      <c r="ED13">
        <v>94</v>
      </c>
      <c r="EE13">
        <v>95</v>
      </c>
      <c r="EF13">
        <v>96</v>
      </c>
      <c r="EG13">
        <v>97</v>
      </c>
      <c r="EH13">
        <v>98</v>
      </c>
      <c r="EI13">
        <v>99</v>
      </c>
      <c r="EJ13">
        <v>100</v>
      </c>
      <c r="EK13" s="14"/>
      <c r="II13" s="14"/>
    </row>
    <row r="14" spans="1:348" x14ac:dyDescent="0.35">
      <c r="A14" s="132"/>
      <c r="B14" s="27"/>
      <c r="C14" s="170" t="s">
        <v>478</v>
      </c>
      <c r="D14" s="170"/>
      <c r="E14" s="103" t="s">
        <v>347</v>
      </c>
      <c r="F14" s="104">
        <v>100000</v>
      </c>
      <c r="G14" s="36" t="str">
        <f>IFERROR(VLOOKUP(E14, 'General Project Info'!$C$30:$I$40, 7, FALSE), "")</f>
        <v>m3</v>
      </c>
      <c r="H14" s="41">
        <f>IFERROR(X14*VLOOKUP(E14, 'General Project Info'!$R$30:$T$40, 3, FALSE), 0)</f>
        <v>26000</v>
      </c>
      <c r="I14" s="42">
        <f>IFERROR(IF($T14="Yes", $X14*VLOOKUP($E14, 'General Project Info'!$R$30:$W$40, 5, FALSE), 0), 0)</f>
        <v>0</v>
      </c>
      <c r="J14" s="42">
        <f>IFERROR(IF($T14="No", $X14*VLOOKUP($E14, 'General Project Info'!$R$30:$W$40, 5, FALSE), 0), 0)</f>
        <v>189927.6575821822</v>
      </c>
      <c r="K14" s="106">
        <v>8</v>
      </c>
      <c r="L14" s="106">
        <v>0</v>
      </c>
      <c r="M14" s="107">
        <v>100000</v>
      </c>
      <c r="N14" s="107">
        <v>0</v>
      </c>
      <c r="O14" s="107">
        <v>12000</v>
      </c>
      <c r="P14" s="43">
        <f>IFERROR(IF(K14=AC14, 0, (AC14/K14*M14)*$Z$11^IF(AB14&lt;=0,0,AA14)), 0)</f>
        <v>68639.285254530609</v>
      </c>
      <c r="Q14" s="27"/>
      <c r="R14" s="132"/>
      <c r="T14" s="18" t="str">
        <f>VLOOKUP($E14, 'Unit Conversions Array'!$B$4:$Z$23, 25, FALSE)</f>
        <v>No</v>
      </c>
      <c r="U14" s="18">
        <f>VLOOKUP(E14, 'General Project Info'!$R$30:$W$40, 6, FALSE)</f>
        <v>1.02</v>
      </c>
      <c r="V14" s="18">
        <f>IF(U14=$Z$12, H14*$X$10, (H14/($Z$12-U14))*(1-(U14/$Z$12)^$X$10))</f>
        <v>460894.08261120704</v>
      </c>
      <c r="W14" s="18">
        <f>IFERROR(F14*INDEX('Unit Conversions Array'!$E$4:$Y$23, MATCH('Scenarios &amp; Measures'!E14, 'Unit Conversions Array'!$B$4:$B$23, 0), MATCH('Scenarios &amp; Measures'!G14, 'Unit Conversions Array'!$E$3:$Y$3, 0)), 0)</f>
        <v>3642499.9999999995</v>
      </c>
      <c r="X14" s="19">
        <f>W14/3.412</f>
        <v>1067555.6858147713</v>
      </c>
      <c r="Y14" s="19">
        <f>I14</f>
        <v>0</v>
      </c>
      <c r="Z14" s="19">
        <f>J14</f>
        <v>189927.6575821822</v>
      </c>
      <c r="AA14" s="17">
        <f>IFERROR(ROUNDDOWN(($X$10-(K14-AD14))/K14, 0)*K14+(K14-AD14), 0)</f>
        <v>16</v>
      </c>
      <c r="AB14" s="17">
        <f>$X$10-AA14</f>
        <v>4</v>
      </c>
      <c r="AC14" s="17">
        <f>IF(AB14&lt;0, ABS(AB14), K14-AB14)</f>
        <v>4</v>
      </c>
      <c r="AD14" s="17">
        <f>IF(L14&lt;=K14, L14, 0)</f>
        <v>0</v>
      </c>
      <c r="AE14" s="18">
        <f>IF($Z$11=$Z$12, O14*$X$10, (O14/($Z$12-$Z$11))*(1-($Z$11/$Z$12)^$X$10))*$Z$12</f>
        <v>219101.95619517379</v>
      </c>
      <c r="AF14" s="19">
        <f t="shared" ref="AF14:AF27" si="6">SUMPRODUCT($AN$11:$EJ$11,$AN$12:$EJ$12)*Y14/1000</f>
        <v>0</v>
      </c>
      <c r="AG14" s="12">
        <f t="shared" ref="AG14:AG27" si="7">SUMPRODUCT($AN$11:$EJ$11,$AN$12:$EJ$12)*Z14/1000</f>
        <v>123828.67461303242</v>
      </c>
      <c r="AH14" s="17">
        <f>IFERROR(SUMPRODUCT($AN$12:$EJ$12, AN14:EJ14), 0)</f>
        <v>278039.34008801816</v>
      </c>
      <c r="AI14" s="23">
        <f>IF($V$10="RECs", -Y14/VLOOKUP("RECs", 'General Project Info'!$R$30:$W$40, 5, FALSE)*$V$11*IF($X$11=$Z$12, $X$10, (1/($Z$12-$X$11))*(1-($X$11/$Z$12)^$X$10)*$Z$12), 0)</f>
        <v>0</v>
      </c>
      <c r="AJ14" s="17">
        <f>IF($V$10="Carbon Offset", IF($X$12=$Z$12,Y14*$V$12*$X$10, (Y14*$V$12)/($Z$12-$X$12)*(1-($X$12/$Z$12)^$X$10)*$Z$12), 0)</f>
        <v>0</v>
      </c>
      <c r="AK14" s="17">
        <f>IF($X$12=$Z$12,Z14*$V$12*$X$10, (Z14*$V$12)/($Z$12-$X$12)*(1-($X$12/$Z$12)^$X$10)*$Z$12)</f>
        <v>83403.658366050062</v>
      </c>
      <c r="AL14" s="17">
        <f>V14+AG14+AH14+AE14+AF14+AI14+AJ14+AK14-P14</f>
        <v>1096628.4266189509</v>
      </c>
      <c r="AM14" s="20" t="s">
        <v>298</v>
      </c>
      <c r="AN14" s="12">
        <f>IFERROR(IF(AN$13&gt;=$X$10, 0, IF(MOD($AD14+AN$13, $K14)=0, (($M14-$N14)*$Z$11^AN$13), 0)), 0)</f>
        <v>100000</v>
      </c>
      <c r="AO14" s="12">
        <f t="shared" ref="AO14:CZ15" si="8">IFERROR(IF(AO$13&gt;=$X$10, 0, IF(MOD($AD14+AO$13, $K14)=0, (($M14-$N14)*$Z$11^AO$13), 0)), 0)</f>
        <v>0</v>
      </c>
      <c r="AP14" s="12">
        <f t="shared" si="8"/>
        <v>0</v>
      </c>
      <c r="AQ14" s="12">
        <f t="shared" si="8"/>
        <v>0</v>
      </c>
      <c r="AR14" s="12">
        <f t="shared" si="8"/>
        <v>0</v>
      </c>
      <c r="AS14" s="12">
        <f>IFERROR(IF(AS$13&gt;=$X$10, 0, IF(MOD($AD14+AS$13, $K14)=0, (($M14-$N14)*$Z$11^AS$13), 0)), 0)</f>
        <v>0</v>
      </c>
      <c r="AT14" s="12">
        <f t="shared" si="8"/>
        <v>0</v>
      </c>
      <c r="AU14" s="12">
        <f t="shared" si="8"/>
        <v>0</v>
      </c>
      <c r="AV14" s="12">
        <f t="shared" si="8"/>
        <v>117165.93810022656</v>
      </c>
      <c r="AW14" s="12">
        <f t="shared" si="8"/>
        <v>0</v>
      </c>
      <c r="AX14" s="12">
        <f t="shared" si="8"/>
        <v>0</v>
      </c>
      <c r="AY14" s="12">
        <f t="shared" si="8"/>
        <v>0</v>
      </c>
      <c r="AZ14" s="12">
        <f t="shared" si="8"/>
        <v>0</v>
      </c>
      <c r="BA14" s="12">
        <f t="shared" si="8"/>
        <v>0</v>
      </c>
      <c r="BB14" s="12">
        <f t="shared" si="8"/>
        <v>0</v>
      </c>
      <c r="BC14" s="12">
        <f t="shared" si="8"/>
        <v>0</v>
      </c>
      <c r="BD14" s="12">
        <f t="shared" si="8"/>
        <v>137278.57050906122</v>
      </c>
      <c r="BE14" s="12">
        <f t="shared" si="8"/>
        <v>0</v>
      </c>
      <c r="BF14" s="12">
        <f t="shared" si="8"/>
        <v>0</v>
      </c>
      <c r="BG14" s="12">
        <f>IFERROR(IF(BG$13&gt;=$X$10, 0, IF(MOD($AD14+BG$13, $K14)=0, (($M14-$N14)*$Z$11^BG$13), 0)), 0)</f>
        <v>0</v>
      </c>
      <c r="BH14" s="12">
        <f t="shared" si="8"/>
        <v>0</v>
      </c>
      <c r="BI14" s="12">
        <f t="shared" si="8"/>
        <v>0</v>
      </c>
      <c r="BJ14" s="12">
        <f t="shared" si="8"/>
        <v>0</v>
      </c>
      <c r="BK14" s="12">
        <f t="shared" si="8"/>
        <v>0</v>
      </c>
      <c r="BL14" s="12">
        <f t="shared" si="8"/>
        <v>0</v>
      </c>
      <c r="BM14" s="12">
        <f t="shared" si="8"/>
        <v>0</v>
      </c>
      <c r="BN14" s="12">
        <f t="shared" si="8"/>
        <v>0</v>
      </c>
      <c r="BO14" s="12">
        <f t="shared" si="8"/>
        <v>0</v>
      </c>
      <c r="BP14" s="12">
        <f t="shared" si="8"/>
        <v>0</v>
      </c>
      <c r="BQ14" s="12">
        <f t="shared" si="8"/>
        <v>0</v>
      </c>
      <c r="BR14" s="12">
        <f t="shared" si="8"/>
        <v>0</v>
      </c>
      <c r="BS14" s="12">
        <f t="shared" si="8"/>
        <v>0</v>
      </c>
      <c r="BT14" s="12">
        <f t="shared" si="8"/>
        <v>0</v>
      </c>
      <c r="BU14" s="12">
        <f t="shared" si="8"/>
        <v>0</v>
      </c>
      <c r="BV14" s="12">
        <f t="shared" si="8"/>
        <v>0</v>
      </c>
      <c r="BW14" s="12">
        <f t="shared" si="8"/>
        <v>0</v>
      </c>
      <c r="BX14" s="12">
        <f t="shared" si="8"/>
        <v>0</v>
      </c>
      <c r="BY14" s="12">
        <f t="shared" si="8"/>
        <v>0</v>
      </c>
      <c r="BZ14" s="12">
        <f t="shared" si="8"/>
        <v>0</v>
      </c>
      <c r="CA14" s="12">
        <f t="shared" si="8"/>
        <v>0</v>
      </c>
      <c r="CB14" s="12">
        <f t="shared" si="8"/>
        <v>0</v>
      </c>
      <c r="CC14" s="12">
        <f t="shared" si="8"/>
        <v>0</v>
      </c>
      <c r="CD14" s="12">
        <f t="shared" si="8"/>
        <v>0</v>
      </c>
      <c r="CE14" s="12">
        <f t="shared" si="8"/>
        <v>0</v>
      </c>
      <c r="CF14" s="12">
        <f t="shared" si="8"/>
        <v>0</v>
      </c>
      <c r="CG14" s="12">
        <f t="shared" si="8"/>
        <v>0</v>
      </c>
      <c r="CH14" s="12">
        <f t="shared" si="8"/>
        <v>0</v>
      </c>
      <c r="CI14" s="12">
        <f t="shared" si="8"/>
        <v>0</v>
      </c>
      <c r="CJ14" s="12">
        <f t="shared" si="8"/>
        <v>0</v>
      </c>
      <c r="CK14" s="12">
        <f t="shared" si="8"/>
        <v>0</v>
      </c>
      <c r="CL14" s="12">
        <f t="shared" si="8"/>
        <v>0</v>
      </c>
      <c r="CM14" s="12">
        <f t="shared" si="8"/>
        <v>0</v>
      </c>
      <c r="CN14" s="12">
        <f t="shared" si="8"/>
        <v>0</v>
      </c>
      <c r="CO14" s="12">
        <f t="shared" si="8"/>
        <v>0</v>
      </c>
      <c r="CP14" s="12">
        <f t="shared" si="8"/>
        <v>0</v>
      </c>
      <c r="CQ14" s="12">
        <f t="shared" si="8"/>
        <v>0</v>
      </c>
      <c r="CR14" s="12">
        <f t="shared" si="8"/>
        <v>0</v>
      </c>
      <c r="CS14" s="12">
        <f t="shared" si="8"/>
        <v>0</v>
      </c>
      <c r="CT14" s="12">
        <f t="shared" si="8"/>
        <v>0</v>
      </c>
      <c r="CU14" s="12">
        <f t="shared" si="8"/>
        <v>0</v>
      </c>
      <c r="CV14" s="12">
        <f t="shared" si="8"/>
        <v>0</v>
      </c>
      <c r="CW14" s="12">
        <f t="shared" si="8"/>
        <v>0</v>
      </c>
      <c r="CX14" s="12">
        <f t="shared" si="8"/>
        <v>0</v>
      </c>
      <c r="CY14" s="12">
        <f t="shared" si="8"/>
        <v>0</v>
      </c>
      <c r="CZ14" s="12">
        <f t="shared" si="8"/>
        <v>0</v>
      </c>
      <c r="DA14" s="12">
        <f t="shared" ref="DA14:EJ18" si="9">IFERROR(IF(DA$13&gt;=$X$10, 0, IF(MOD($AD14+DA$13, $K14)=0, (($M14-$N14)*$Z$11^DA$13), 0)), 0)</f>
        <v>0</v>
      </c>
      <c r="DB14" s="12">
        <f t="shared" si="9"/>
        <v>0</v>
      </c>
      <c r="DC14" s="12">
        <f t="shared" si="9"/>
        <v>0</v>
      </c>
      <c r="DD14" s="12">
        <f t="shared" si="9"/>
        <v>0</v>
      </c>
      <c r="DE14" s="12">
        <f t="shared" si="9"/>
        <v>0</v>
      </c>
      <c r="DF14" s="12">
        <f t="shared" si="9"/>
        <v>0</v>
      </c>
      <c r="DG14" s="12">
        <f t="shared" si="9"/>
        <v>0</v>
      </c>
      <c r="DH14" s="12">
        <f t="shared" si="9"/>
        <v>0</v>
      </c>
      <c r="DI14" s="12">
        <f t="shared" si="9"/>
        <v>0</v>
      </c>
      <c r="DJ14" s="12">
        <f t="shared" si="9"/>
        <v>0</v>
      </c>
      <c r="DK14" s="12">
        <f t="shared" si="9"/>
        <v>0</v>
      </c>
      <c r="DL14" s="12">
        <f t="shared" si="9"/>
        <v>0</v>
      </c>
      <c r="DM14" s="12">
        <f t="shared" si="9"/>
        <v>0</v>
      </c>
      <c r="DN14" s="12">
        <f t="shared" si="9"/>
        <v>0</v>
      </c>
      <c r="DO14" s="12">
        <f t="shared" si="9"/>
        <v>0</v>
      </c>
      <c r="DP14" s="12">
        <f t="shared" si="9"/>
        <v>0</v>
      </c>
      <c r="DQ14" s="12">
        <f t="shared" si="9"/>
        <v>0</v>
      </c>
      <c r="DR14" s="12">
        <f t="shared" si="9"/>
        <v>0</v>
      </c>
      <c r="DS14" s="12">
        <f t="shared" si="9"/>
        <v>0</v>
      </c>
      <c r="DT14" s="12">
        <f t="shared" si="9"/>
        <v>0</v>
      </c>
      <c r="DU14" s="12">
        <f t="shared" si="9"/>
        <v>0</v>
      </c>
      <c r="DV14" s="12">
        <f t="shared" si="9"/>
        <v>0</v>
      </c>
      <c r="DW14" s="12">
        <f t="shared" si="9"/>
        <v>0</v>
      </c>
      <c r="DX14" s="12">
        <f t="shared" si="9"/>
        <v>0</v>
      </c>
      <c r="DY14" s="12">
        <f t="shared" si="9"/>
        <v>0</v>
      </c>
      <c r="DZ14" s="12">
        <f t="shared" si="9"/>
        <v>0</v>
      </c>
      <c r="EA14" s="12">
        <f t="shared" si="9"/>
        <v>0</v>
      </c>
      <c r="EB14" s="12">
        <f t="shared" si="9"/>
        <v>0</v>
      </c>
      <c r="EC14" s="12">
        <f t="shared" si="9"/>
        <v>0</v>
      </c>
      <c r="ED14" s="12">
        <f t="shared" si="9"/>
        <v>0</v>
      </c>
      <c r="EE14" s="12">
        <f t="shared" si="9"/>
        <v>0</v>
      </c>
      <c r="EF14" s="12">
        <f t="shared" si="9"/>
        <v>0</v>
      </c>
      <c r="EG14" s="12">
        <f t="shared" si="9"/>
        <v>0</v>
      </c>
      <c r="EH14" s="12">
        <f t="shared" si="9"/>
        <v>0</v>
      </c>
      <c r="EI14" s="12">
        <f t="shared" si="9"/>
        <v>0</v>
      </c>
      <c r="EJ14" s="12">
        <f t="shared" si="9"/>
        <v>0</v>
      </c>
      <c r="EK14" s="20"/>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6"/>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row>
    <row r="15" spans="1:348" x14ac:dyDescent="0.35">
      <c r="A15" s="132"/>
      <c r="B15" s="27"/>
      <c r="C15" s="170"/>
      <c r="D15" s="170"/>
      <c r="E15" s="103"/>
      <c r="F15" s="105"/>
      <c r="G15" s="36" t="str">
        <f>IFERROR(VLOOKUP(E15, 'General Project Info'!$C$30:$I$40, 7, FALSE), "")</f>
        <v/>
      </c>
      <c r="H15" s="41">
        <f>IFERROR(X15*VLOOKUP(E15, 'General Project Info'!$R$30:$T$40, 3, FALSE), 0)</f>
        <v>0</v>
      </c>
      <c r="I15" s="42">
        <f>IFERROR(IF($T15="Yes", $X15*VLOOKUP($E15, 'General Project Info'!$R$30:$W$40, 5, FALSE), 0), 0)</f>
        <v>0</v>
      </c>
      <c r="J15" s="42">
        <f>IFERROR(IF($T15="No", $X15*VLOOKUP($E15, 'General Project Info'!$R$30:$W$40, 5, FALSE), 0), 0)</f>
        <v>0</v>
      </c>
      <c r="K15" s="108"/>
      <c r="L15" s="108"/>
      <c r="M15" s="109"/>
      <c r="N15" s="109"/>
      <c r="O15" s="109"/>
      <c r="P15" s="43">
        <f t="shared" ref="P15:P27" si="10">IFERROR(IF(K15=AC15, 0, (AC15/K15*M15)*$Z$11^IF(AB15&lt;=0,0,AA15)), 0)</f>
        <v>0</v>
      </c>
      <c r="Q15" s="27"/>
      <c r="R15" s="132"/>
      <c r="T15" s="18" t="e">
        <f>VLOOKUP($E15, 'Unit Conversions Array'!$B$4:$Z$23, 25, FALSE)</f>
        <v>#N/A</v>
      </c>
      <c r="U15">
        <f>VLOOKUP(E15, 'General Project Info'!$R$30:$W$40, 6, FALSE)</f>
        <v>1</v>
      </c>
      <c r="V15" s="18">
        <f t="shared" ref="V15:V27" si="11">IF(U15=$Z$12, H15*$X$10, (H15/($Z$12-U15))*(1-(U15/$Z$12)^$X$10))</f>
        <v>0</v>
      </c>
      <c r="W15" s="18">
        <f>IFERROR(F15*INDEX('Unit Conversions Array'!$E$4:$Y$23, MATCH('Scenarios &amp; Measures'!E15, 'Unit Conversions Array'!$B$4:$B$23, 0), MATCH('Scenarios &amp; Measures'!G15, 'Unit Conversions Array'!$E$3:$Y$3, 0)), 0)</f>
        <v>0</v>
      </c>
      <c r="X15" s="19">
        <f t="shared" ref="X15:X27" si="12">W15/3.412</f>
        <v>0</v>
      </c>
      <c r="Y15" s="19">
        <f t="shared" ref="Y15:Y27" si="13">I15</f>
        <v>0</v>
      </c>
      <c r="Z15" s="19">
        <f t="shared" ref="Z15:Z27" si="14">J15</f>
        <v>0</v>
      </c>
      <c r="AA15" s="17">
        <f>IFERROR(ROUNDDOWN(($X$10-(K15-AD15))/K15, 0)*K15+(K15-AD15), 0)</f>
        <v>0</v>
      </c>
      <c r="AB15" s="17">
        <f t="shared" ref="AB15:AB27" si="15">$X$10-AA15</f>
        <v>20</v>
      </c>
      <c r="AC15" s="17">
        <f t="shared" ref="AC15:AC27" si="16">IF(AB15&lt;0, ABS(AB15), K15-AB15)</f>
        <v>-20</v>
      </c>
      <c r="AD15" s="17">
        <f t="shared" ref="AD15:AD27" si="17">IF(L15&lt;=K15, L15, 0)</f>
        <v>0</v>
      </c>
      <c r="AE15" s="18">
        <f t="shared" ref="AE15:AE27" si="18">IF($Z$11=$Z$12, O15*$X$10, (O15/($Z$12-$Z$11))*(1-($Z$11/$Z$12)^$X$10))*$Z$12</f>
        <v>0</v>
      </c>
      <c r="AF15" s="19">
        <f t="shared" si="6"/>
        <v>0</v>
      </c>
      <c r="AG15" s="12">
        <f t="shared" si="7"/>
        <v>0</v>
      </c>
      <c r="AH15" s="17">
        <f t="shared" ref="AH15:AH27" si="19">IFERROR(SUMPRODUCT($AN$12:$EJ$12, AN15:EJ15), 0)</f>
        <v>0</v>
      </c>
      <c r="AI15" s="23">
        <f>IF($V$10="RECs", -Y15/VLOOKUP("RECs", 'General Project Info'!$R$30:$W$40, 5, FALSE)*$V$11*IF($X$11=$Z$12, $X$10, (1/($Z$12-$X$11))*(1-($X$11/$Z$12)^$X$10)*$Z$12), 0)</f>
        <v>0</v>
      </c>
      <c r="AJ15" s="17">
        <f t="shared" ref="AJ15:AJ27" si="20">IF($V$10="Carbon Offset", IF($X$12=$Z$12,Y15*$V$12*$X$10, (Y15*$V$12)/($Z$12-$X$12)*(1-($X$12/$Z$12)^$X$10)*$Z$12), 0)</f>
        <v>0</v>
      </c>
      <c r="AK15" s="17">
        <f t="shared" ref="AK15:AK27" si="21">IF($X$12=$Z$12,Z15*$V$12*$X$10, (Z15*$V$12)/($Z$12-$X$12)*(1-($X$12/$Z$12)^$X$10)*$Z$12)</f>
        <v>0</v>
      </c>
      <c r="AL15" s="17">
        <f t="shared" ref="AL15:AL27" si="22">V15+AG15+AH15+AE15+AF15+AI15+AJ15+AK15-P15</f>
        <v>0</v>
      </c>
      <c r="AM15" s="15"/>
      <c r="AN15" s="12">
        <f t="shared" ref="AN15:BC27" si="23">IFERROR(IF(AN$13&gt;=$X$10, 0, IF(MOD($AD15+AN$13, $K15)=0, (($M15-$N15)*$Z$11^AN$13), 0)), 0)</f>
        <v>0</v>
      </c>
      <c r="AO15" s="12">
        <f t="shared" si="23"/>
        <v>0</v>
      </c>
      <c r="AP15" s="12">
        <f t="shared" si="23"/>
        <v>0</v>
      </c>
      <c r="AQ15" s="12">
        <f t="shared" si="23"/>
        <v>0</v>
      </c>
      <c r="AR15" s="12">
        <f t="shared" si="23"/>
        <v>0</v>
      </c>
      <c r="AS15" s="12">
        <f t="shared" si="23"/>
        <v>0</v>
      </c>
      <c r="AT15" s="12">
        <f t="shared" si="23"/>
        <v>0</v>
      </c>
      <c r="AU15" s="12">
        <f t="shared" si="23"/>
        <v>0</v>
      </c>
      <c r="AV15" s="12">
        <f t="shared" si="23"/>
        <v>0</v>
      </c>
      <c r="AW15" s="12">
        <f t="shared" si="23"/>
        <v>0</v>
      </c>
      <c r="AX15" s="12">
        <f t="shared" si="23"/>
        <v>0</v>
      </c>
      <c r="AY15" s="12">
        <f t="shared" si="23"/>
        <v>0</v>
      </c>
      <c r="AZ15" s="12">
        <f t="shared" si="23"/>
        <v>0</v>
      </c>
      <c r="BA15" s="12">
        <f t="shared" si="23"/>
        <v>0</v>
      </c>
      <c r="BB15" s="12">
        <f t="shared" si="23"/>
        <v>0</v>
      </c>
      <c r="BC15" s="12">
        <f t="shared" si="23"/>
        <v>0</v>
      </c>
      <c r="BD15" s="12">
        <f t="shared" si="8"/>
        <v>0</v>
      </c>
      <c r="BE15" s="12">
        <f t="shared" si="8"/>
        <v>0</v>
      </c>
      <c r="BF15" s="12">
        <f t="shared" si="8"/>
        <v>0</v>
      </c>
      <c r="BG15" s="12">
        <f t="shared" si="8"/>
        <v>0</v>
      </c>
      <c r="BH15" s="12">
        <f t="shared" si="8"/>
        <v>0</v>
      </c>
      <c r="BI15" s="12">
        <f t="shared" si="8"/>
        <v>0</v>
      </c>
      <c r="BJ15" s="12">
        <f t="shared" si="8"/>
        <v>0</v>
      </c>
      <c r="BK15" s="12">
        <f t="shared" si="8"/>
        <v>0</v>
      </c>
      <c r="BL15" s="12">
        <f t="shared" si="8"/>
        <v>0</v>
      </c>
      <c r="BM15" s="12">
        <f t="shared" si="8"/>
        <v>0</v>
      </c>
      <c r="BN15" s="12">
        <f t="shared" si="8"/>
        <v>0</v>
      </c>
      <c r="BO15" s="12">
        <f t="shared" si="8"/>
        <v>0</v>
      </c>
      <c r="BP15" s="12">
        <f t="shared" si="8"/>
        <v>0</v>
      </c>
      <c r="BQ15" s="12">
        <f t="shared" si="8"/>
        <v>0</v>
      </c>
      <c r="BR15" s="12">
        <f t="shared" si="8"/>
        <v>0</v>
      </c>
      <c r="BS15" s="12">
        <f t="shared" si="8"/>
        <v>0</v>
      </c>
      <c r="BT15" s="12">
        <f t="shared" si="8"/>
        <v>0</v>
      </c>
      <c r="BU15" s="12">
        <f t="shared" si="8"/>
        <v>0</v>
      </c>
      <c r="BV15" s="12">
        <f t="shared" si="8"/>
        <v>0</v>
      </c>
      <c r="BW15" s="12">
        <f t="shared" si="8"/>
        <v>0</v>
      </c>
      <c r="BX15" s="12">
        <f t="shared" si="8"/>
        <v>0</v>
      </c>
      <c r="BY15" s="12">
        <f t="shared" si="8"/>
        <v>0</v>
      </c>
      <c r="BZ15" s="12">
        <f t="shared" si="8"/>
        <v>0</v>
      </c>
      <c r="CA15" s="12">
        <f t="shared" si="8"/>
        <v>0</v>
      </c>
      <c r="CB15" s="12">
        <f t="shared" si="8"/>
        <v>0</v>
      </c>
      <c r="CC15" s="12">
        <f t="shared" si="8"/>
        <v>0</v>
      </c>
      <c r="CD15" s="12">
        <f t="shared" si="8"/>
        <v>0</v>
      </c>
      <c r="CE15" s="12">
        <f t="shared" si="8"/>
        <v>0</v>
      </c>
      <c r="CF15" s="12">
        <f t="shared" si="8"/>
        <v>0</v>
      </c>
      <c r="CG15" s="12">
        <f t="shared" si="8"/>
        <v>0</v>
      </c>
      <c r="CH15" s="12">
        <f t="shared" si="8"/>
        <v>0</v>
      </c>
      <c r="CI15" s="12">
        <f t="shared" si="8"/>
        <v>0</v>
      </c>
      <c r="CJ15" s="12">
        <f t="shared" si="8"/>
        <v>0</v>
      </c>
      <c r="CK15" s="12">
        <f t="shared" si="8"/>
        <v>0</v>
      </c>
      <c r="CL15" s="12">
        <f t="shared" si="8"/>
        <v>0</v>
      </c>
      <c r="CM15" s="12">
        <f t="shared" si="8"/>
        <v>0</v>
      </c>
      <c r="CN15" s="12">
        <f t="shared" si="8"/>
        <v>0</v>
      </c>
      <c r="CO15" s="12">
        <f t="shared" si="8"/>
        <v>0</v>
      </c>
      <c r="CP15" s="12">
        <f t="shared" si="8"/>
        <v>0</v>
      </c>
      <c r="CQ15" s="12">
        <f t="shared" si="8"/>
        <v>0</v>
      </c>
      <c r="CR15" s="12">
        <f t="shared" si="8"/>
        <v>0</v>
      </c>
      <c r="CS15" s="12">
        <f t="shared" si="8"/>
        <v>0</v>
      </c>
      <c r="CT15" s="12">
        <f t="shared" si="8"/>
        <v>0</v>
      </c>
      <c r="CU15" s="12">
        <f t="shared" si="8"/>
        <v>0</v>
      </c>
      <c r="CV15" s="12">
        <f t="shared" si="8"/>
        <v>0</v>
      </c>
      <c r="CW15" s="12">
        <f t="shared" si="8"/>
        <v>0</v>
      </c>
      <c r="CX15" s="12">
        <f t="shared" si="8"/>
        <v>0</v>
      </c>
      <c r="CY15" s="12">
        <f t="shared" si="8"/>
        <v>0</v>
      </c>
      <c r="CZ15" s="12">
        <f t="shared" si="8"/>
        <v>0</v>
      </c>
      <c r="DA15" s="12">
        <f t="shared" si="9"/>
        <v>0</v>
      </c>
      <c r="DB15" s="12">
        <f t="shared" si="9"/>
        <v>0</v>
      </c>
      <c r="DC15" s="12">
        <f t="shared" si="9"/>
        <v>0</v>
      </c>
      <c r="DD15" s="12">
        <f t="shared" si="9"/>
        <v>0</v>
      </c>
      <c r="DE15" s="12">
        <f t="shared" si="9"/>
        <v>0</v>
      </c>
      <c r="DF15" s="12">
        <f t="shared" si="9"/>
        <v>0</v>
      </c>
      <c r="DG15" s="12">
        <f t="shared" si="9"/>
        <v>0</v>
      </c>
      <c r="DH15" s="12">
        <f t="shared" si="9"/>
        <v>0</v>
      </c>
      <c r="DI15" s="12">
        <f t="shared" si="9"/>
        <v>0</v>
      </c>
      <c r="DJ15" s="12">
        <f t="shared" si="9"/>
        <v>0</v>
      </c>
      <c r="DK15" s="12">
        <f t="shared" si="9"/>
        <v>0</v>
      </c>
      <c r="DL15" s="12">
        <f t="shared" si="9"/>
        <v>0</v>
      </c>
      <c r="DM15" s="12">
        <f t="shared" si="9"/>
        <v>0</v>
      </c>
      <c r="DN15" s="12">
        <f t="shared" si="9"/>
        <v>0</v>
      </c>
      <c r="DO15" s="12">
        <f t="shared" si="9"/>
        <v>0</v>
      </c>
      <c r="DP15" s="12">
        <f t="shared" si="9"/>
        <v>0</v>
      </c>
      <c r="DQ15" s="12">
        <f t="shared" si="9"/>
        <v>0</v>
      </c>
      <c r="DR15" s="12">
        <f t="shared" si="9"/>
        <v>0</v>
      </c>
      <c r="DS15" s="12">
        <f t="shared" si="9"/>
        <v>0</v>
      </c>
      <c r="DT15" s="12">
        <f t="shared" si="9"/>
        <v>0</v>
      </c>
      <c r="DU15" s="12">
        <f t="shared" si="9"/>
        <v>0</v>
      </c>
      <c r="DV15" s="12">
        <f t="shared" si="9"/>
        <v>0</v>
      </c>
      <c r="DW15" s="12">
        <f t="shared" si="9"/>
        <v>0</v>
      </c>
      <c r="DX15" s="12">
        <f t="shared" si="9"/>
        <v>0</v>
      </c>
      <c r="DY15" s="12">
        <f t="shared" si="9"/>
        <v>0</v>
      </c>
      <c r="DZ15" s="12">
        <f t="shared" si="9"/>
        <v>0</v>
      </c>
      <c r="EA15" s="12">
        <f t="shared" si="9"/>
        <v>0</v>
      </c>
      <c r="EB15" s="12">
        <f t="shared" si="9"/>
        <v>0</v>
      </c>
      <c r="EC15" s="12">
        <f t="shared" si="9"/>
        <v>0</v>
      </c>
      <c r="ED15" s="12">
        <f t="shared" si="9"/>
        <v>0</v>
      </c>
      <c r="EE15" s="12">
        <f t="shared" si="9"/>
        <v>0</v>
      </c>
      <c r="EF15" s="12">
        <f t="shared" si="9"/>
        <v>0</v>
      </c>
      <c r="EG15" s="12">
        <f t="shared" si="9"/>
        <v>0</v>
      </c>
      <c r="EH15" s="12">
        <f t="shared" si="9"/>
        <v>0</v>
      </c>
      <c r="EI15" s="12">
        <f t="shared" si="9"/>
        <v>0</v>
      </c>
      <c r="EJ15" s="12">
        <f t="shared" si="9"/>
        <v>0</v>
      </c>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row>
    <row r="16" spans="1:348" x14ac:dyDescent="0.35">
      <c r="A16" s="132"/>
      <c r="B16" s="27"/>
      <c r="C16" s="170"/>
      <c r="D16" s="170"/>
      <c r="E16" s="103"/>
      <c r="F16" s="105"/>
      <c r="G16" s="36" t="str">
        <f>IFERROR(VLOOKUP(E16, 'General Project Info'!$C$30:$I$40, 7, FALSE), "")</f>
        <v/>
      </c>
      <c r="H16" s="41">
        <f>IFERROR(X16*VLOOKUP(E16, 'General Project Info'!$R$30:$T$40, 3, FALSE), 0)</f>
        <v>0</v>
      </c>
      <c r="I16" s="42">
        <f>IFERROR(IF($T16="Yes", $X16*VLOOKUP($E16, 'General Project Info'!$R$30:$W$40, 5, FALSE), 0), 0)</f>
        <v>0</v>
      </c>
      <c r="J16" s="42">
        <f>IFERROR(IF($T16="No", $X16*VLOOKUP($E16, 'General Project Info'!$R$30:$W$40, 5, FALSE), 0), 0)</f>
        <v>0</v>
      </c>
      <c r="K16" s="108"/>
      <c r="L16" s="108"/>
      <c r="M16" s="109"/>
      <c r="N16" s="109"/>
      <c r="O16" s="109"/>
      <c r="P16" s="43">
        <f t="shared" si="10"/>
        <v>0</v>
      </c>
      <c r="Q16" s="27"/>
      <c r="R16" s="132"/>
      <c r="T16" s="18" t="e">
        <f>VLOOKUP($E16, 'Unit Conversions Array'!$B$4:$Z$23, 25, FALSE)</f>
        <v>#N/A</v>
      </c>
      <c r="U16">
        <f>VLOOKUP(E16, 'General Project Info'!$R$30:$W$40, 6, FALSE)</f>
        <v>1</v>
      </c>
      <c r="V16" s="18">
        <f t="shared" si="11"/>
        <v>0</v>
      </c>
      <c r="W16" s="18">
        <f>IFERROR(F16*INDEX('Unit Conversions Array'!$E$4:$Y$23, MATCH('Scenarios &amp; Measures'!E16, 'Unit Conversions Array'!$B$4:$B$23, 0), MATCH('Scenarios &amp; Measures'!G16, 'Unit Conversions Array'!$E$3:$Y$3, 0)), 0)</f>
        <v>0</v>
      </c>
      <c r="X16" s="19">
        <f t="shared" si="12"/>
        <v>0</v>
      </c>
      <c r="Y16" s="19">
        <f t="shared" si="13"/>
        <v>0</v>
      </c>
      <c r="Z16" s="19">
        <f t="shared" si="14"/>
        <v>0</v>
      </c>
      <c r="AA16" s="17">
        <f>IFERROR(ROUNDDOWN(($X$10-(K16-AD16))/K16, 0)*K16+(K16-AD16), 0)</f>
        <v>0</v>
      </c>
      <c r="AB16" s="17">
        <f t="shared" si="15"/>
        <v>20</v>
      </c>
      <c r="AC16" s="17">
        <f t="shared" si="16"/>
        <v>-20</v>
      </c>
      <c r="AD16" s="17">
        <f t="shared" si="17"/>
        <v>0</v>
      </c>
      <c r="AE16" s="18">
        <f t="shared" si="18"/>
        <v>0</v>
      </c>
      <c r="AF16" s="19">
        <f t="shared" si="6"/>
        <v>0</v>
      </c>
      <c r="AG16" s="12">
        <f t="shared" si="7"/>
        <v>0</v>
      </c>
      <c r="AH16" s="17">
        <f t="shared" si="19"/>
        <v>0</v>
      </c>
      <c r="AI16" s="23">
        <f>IF($V$10="RECs", -Y16/VLOOKUP("RECs", 'General Project Info'!$R$30:$W$40, 5, FALSE)*$V$11*IF($X$11=$Z$12, $X$10, (1/($Z$12-$X$11))*(1-($X$11/$Z$12)^$X$10)*$Z$12), 0)</f>
        <v>0</v>
      </c>
      <c r="AJ16" s="17">
        <f t="shared" si="20"/>
        <v>0</v>
      </c>
      <c r="AK16" s="17">
        <f t="shared" si="21"/>
        <v>0</v>
      </c>
      <c r="AL16" s="17">
        <f t="shared" si="22"/>
        <v>0</v>
      </c>
      <c r="AN16" s="12">
        <f t="shared" si="23"/>
        <v>0</v>
      </c>
      <c r="AO16" s="12">
        <f t="shared" ref="AO16:CZ19" si="24">IFERROR(IF(AO$13&gt;=$X$10, 0, IF(MOD($AD16+AO$13, $K16)=0, (($M16-$N16)*$Z$11^AO$13), 0)), 0)</f>
        <v>0</v>
      </c>
      <c r="AP16" s="12">
        <f t="shared" si="24"/>
        <v>0</v>
      </c>
      <c r="AQ16" s="12">
        <f t="shared" si="24"/>
        <v>0</v>
      </c>
      <c r="AR16" s="12">
        <f t="shared" si="24"/>
        <v>0</v>
      </c>
      <c r="AS16" s="12">
        <f t="shared" si="24"/>
        <v>0</v>
      </c>
      <c r="AT16" s="12">
        <f t="shared" si="24"/>
        <v>0</v>
      </c>
      <c r="AU16" s="12">
        <f t="shared" si="24"/>
        <v>0</v>
      </c>
      <c r="AV16" s="12">
        <f t="shared" si="24"/>
        <v>0</v>
      </c>
      <c r="AW16" s="12">
        <f t="shared" si="24"/>
        <v>0</v>
      </c>
      <c r="AX16" s="12">
        <f t="shared" si="24"/>
        <v>0</v>
      </c>
      <c r="AY16" s="12">
        <f t="shared" si="24"/>
        <v>0</v>
      </c>
      <c r="AZ16" s="12">
        <f t="shared" si="24"/>
        <v>0</v>
      </c>
      <c r="BA16" s="12">
        <f t="shared" si="24"/>
        <v>0</v>
      </c>
      <c r="BB16" s="12">
        <f t="shared" si="24"/>
        <v>0</v>
      </c>
      <c r="BC16" s="12">
        <f t="shared" si="24"/>
        <v>0</v>
      </c>
      <c r="BD16" s="12">
        <f t="shared" si="24"/>
        <v>0</v>
      </c>
      <c r="BE16" s="12">
        <f t="shared" si="24"/>
        <v>0</v>
      </c>
      <c r="BF16" s="12">
        <f t="shared" si="24"/>
        <v>0</v>
      </c>
      <c r="BG16" s="12">
        <f t="shared" si="24"/>
        <v>0</v>
      </c>
      <c r="BH16" s="12">
        <f t="shared" si="24"/>
        <v>0</v>
      </c>
      <c r="BI16" s="12">
        <f t="shared" si="24"/>
        <v>0</v>
      </c>
      <c r="BJ16" s="12">
        <f t="shared" si="24"/>
        <v>0</v>
      </c>
      <c r="BK16" s="12">
        <f t="shared" si="24"/>
        <v>0</v>
      </c>
      <c r="BL16" s="12">
        <f t="shared" si="24"/>
        <v>0</v>
      </c>
      <c r="BM16" s="12">
        <f t="shared" si="24"/>
        <v>0</v>
      </c>
      <c r="BN16" s="12">
        <f t="shared" si="24"/>
        <v>0</v>
      </c>
      <c r="BO16" s="12">
        <f t="shared" si="24"/>
        <v>0</v>
      </c>
      <c r="BP16" s="12">
        <f t="shared" si="24"/>
        <v>0</v>
      </c>
      <c r="BQ16" s="12">
        <f t="shared" si="24"/>
        <v>0</v>
      </c>
      <c r="BR16" s="12">
        <f t="shared" si="24"/>
        <v>0</v>
      </c>
      <c r="BS16" s="12">
        <f t="shared" si="24"/>
        <v>0</v>
      </c>
      <c r="BT16" s="12">
        <f t="shared" si="24"/>
        <v>0</v>
      </c>
      <c r="BU16" s="12">
        <f t="shared" si="24"/>
        <v>0</v>
      </c>
      <c r="BV16" s="12">
        <f t="shared" si="24"/>
        <v>0</v>
      </c>
      <c r="BW16" s="12">
        <f t="shared" si="24"/>
        <v>0</v>
      </c>
      <c r="BX16" s="12">
        <f t="shared" si="24"/>
        <v>0</v>
      </c>
      <c r="BY16" s="12">
        <f t="shared" si="24"/>
        <v>0</v>
      </c>
      <c r="BZ16" s="12">
        <f t="shared" si="24"/>
        <v>0</v>
      </c>
      <c r="CA16" s="12">
        <f t="shared" si="24"/>
        <v>0</v>
      </c>
      <c r="CB16" s="12">
        <f t="shared" si="24"/>
        <v>0</v>
      </c>
      <c r="CC16" s="12">
        <f t="shared" si="24"/>
        <v>0</v>
      </c>
      <c r="CD16" s="12">
        <f t="shared" si="24"/>
        <v>0</v>
      </c>
      <c r="CE16" s="12">
        <f t="shared" si="24"/>
        <v>0</v>
      </c>
      <c r="CF16" s="12">
        <f t="shared" si="24"/>
        <v>0</v>
      </c>
      <c r="CG16" s="12">
        <f t="shared" si="24"/>
        <v>0</v>
      </c>
      <c r="CH16" s="12">
        <f t="shared" si="24"/>
        <v>0</v>
      </c>
      <c r="CI16" s="12">
        <f t="shared" si="24"/>
        <v>0</v>
      </c>
      <c r="CJ16" s="12">
        <f t="shared" si="24"/>
        <v>0</v>
      </c>
      <c r="CK16" s="12">
        <f t="shared" si="24"/>
        <v>0</v>
      </c>
      <c r="CL16" s="12">
        <f t="shared" si="24"/>
        <v>0</v>
      </c>
      <c r="CM16" s="12">
        <f t="shared" si="24"/>
        <v>0</v>
      </c>
      <c r="CN16" s="12">
        <f t="shared" si="24"/>
        <v>0</v>
      </c>
      <c r="CO16" s="12">
        <f t="shared" si="24"/>
        <v>0</v>
      </c>
      <c r="CP16" s="12">
        <f t="shared" si="24"/>
        <v>0</v>
      </c>
      <c r="CQ16" s="12">
        <f t="shared" si="24"/>
        <v>0</v>
      </c>
      <c r="CR16" s="12">
        <f t="shared" si="24"/>
        <v>0</v>
      </c>
      <c r="CS16" s="12">
        <f t="shared" si="24"/>
        <v>0</v>
      </c>
      <c r="CT16" s="12">
        <f t="shared" si="24"/>
        <v>0</v>
      </c>
      <c r="CU16" s="12">
        <f t="shared" si="24"/>
        <v>0</v>
      </c>
      <c r="CV16" s="12">
        <f t="shared" si="24"/>
        <v>0</v>
      </c>
      <c r="CW16" s="12">
        <f t="shared" si="24"/>
        <v>0</v>
      </c>
      <c r="CX16" s="12">
        <f t="shared" si="24"/>
        <v>0</v>
      </c>
      <c r="CY16" s="12">
        <f t="shared" si="24"/>
        <v>0</v>
      </c>
      <c r="CZ16" s="12">
        <f t="shared" si="24"/>
        <v>0</v>
      </c>
      <c r="DA16" s="12">
        <f t="shared" si="9"/>
        <v>0</v>
      </c>
      <c r="DB16" s="12">
        <f t="shared" si="9"/>
        <v>0</v>
      </c>
      <c r="DC16" s="12">
        <f t="shared" si="9"/>
        <v>0</v>
      </c>
      <c r="DD16" s="12">
        <f t="shared" si="9"/>
        <v>0</v>
      </c>
      <c r="DE16" s="12">
        <f t="shared" si="9"/>
        <v>0</v>
      </c>
      <c r="DF16" s="12">
        <f t="shared" si="9"/>
        <v>0</v>
      </c>
      <c r="DG16" s="12">
        <f t="shared" si="9"/>
        <v>0</v>
      </c>
      <c r="DH16" s="12">
        <f t="shared" si="9"/>
        <v>0</v>
      </c>
      <c r="DI16" s="12">
        <f t="shared" si="9"/>
        <v>0</v>
      </c>
      <c r="DJ16" s="12">
        <f t="shared" si="9"/>
        <v>0</v>
      </c>
      <c r="DK16" s="12">
        <f t="shared" si="9"/>
        <v>0</v>
      </c>
      <c r="DL16" s="12">
        <f t="shared" si="9"/>
        <v>0</v>
      </c>
      <c r="DM16" s="12">
        <f t="shared" si="9"/>
        <v>0</v>
      </c>
      <c r="DN16" s="12">
        <f t="shared" si="9"/>
        <v>0</v>
      </c>
      <c r="DO16" s="12">
        <f t="shared" si="9"/>
        <v>0</v>
      </c>
      <c r="DP16" s="12">
        <f t="shared" si="9"/>
        <v>0</v>
      </c>
      <c r="DQ16" s="12">
        <f t="shared" si="9"/>
        <v>0</v>
      </c>
      <c r="DR16" s="12">
        <f t="shared" si="9"/>
        <v>0</v>
      </c>
      <c r="DS16" s="12">
        <f t="shared" si="9"/>
        <v>0</v>
      </c>
      <c r="DT16" s="12">
        <f t="shared" si="9"/>
        <v>0</v>
      </c>
      <c r="DU16" s="12">
        <f t="shared" si="9"/>
        <v>0</v>
      </c>
      <c r="DV16" s="12">
        <f t="shared" si="9"/>
        <v>0</v>
      </c>
      <c r="DW16" s="12">
        <f t="shared" si="9"/>
        <v>0</v>
      </c>
      <c r="DX16" s="12">
        <f t="shared" si="9"/>
        <v>0</v>
      </c>
      <c r="DY16" s="12">
        <f t="shared" si="9"/>
        <v>0</v>
      </c>
      <c r="DZ16" s="12">
        <f t="shared" si="9"/>
        <v>0</v>
      </c>
      <c r="EA16" s="12">
        <f t="shared" si="9"/>
        <v>0</v>
      </c>
      <c r="EB16" s="12">
        <f t="shared" si="9"/>
        <v>0</v>
      </c>
      <c r="EC16" s="12">
        <f t="shared" si="9"/>
        <v>0</v>
      </c>
      <c r="ED16" s="12">
        <f t="shared" si="9"/>
        <v>0</v>
      </c>
      <c r="EE16" s="12">
        <f t="shared" si="9"/>
        <v>0</v>
      </c>
      <c r="EF16" s="12">
        <f t="shared" si="9"/>
        <v>0</v>
      </c>
      <c r="EG16" s="12">
        <f t="shared" si="9"/>
        <v>0</v>
      </c>
      <c r="EH16" s="12">
        <f t="shared" si="9"/>
        <v>0</v>
      </c>
      <c r="EI16" s="12">
        <f t="shared" si="9"/>
        <v>0</v>
      </c>
      <c r="EJ16" s="12">
        <f t="shared" si="9"/>
        <v>0</v>
      </c>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row>
    <row r="17" spans="1:348" x14ac:dyDescent="0.35">
      <c r="A17" s="132"/>
      <c r="B17" s="27"/>
      <c r="C17" s="170"/>
      <c r="D17" s="170"/>
      <c r="E17" s="103"/>
      <c r="F17" s="105"/>
      <c r="G17" s="36" t="str">
        <f>IFERROR(VLOOKUP(E17, 'General Project Info'!$C$30:$I$40, 7, FALSE), "")</f>
        <v/>
      </c>
      <c r="H17" s="41">
        <f>IFERROR(X17*VLOOKUP(E17, 'General Project Info'!$R$30:$T$40, 3, FALSE), 0)</f>
        <v>0</v>
      </c>
      <c r="I17" s="42">
        <f>IFERROR(IF($T17="Yes", $X17*VLOOKUP($E17, 'General Project Info'!$R$30:$W$40, 5, FALSE), 0), 0)</f>
        <v>0</v>
      </c>
      <c r="J17" s="42">
        <f>IFERROR(IF($T17="No", $X17*VLOOKUP($E17, 'General Project Info'!$R$30:$W$40, 5, FALSE), 0), 0)</f>
        <v>0</v>
      </c>
      <c r="K17" s="108"/>
      <c r="L17" s="108"/>
      <c r="M17" s="109"/>
      <c r="N17" s="109"/>
      <c r="O17" s="109"/>
      <c r="P17" s="43">
        <f t="shared" si="10"/>
        <v>0</v>
      </c>
      <c r="Q17" s="27"/>
      <c r="R17" s="132"/>
      <c r="T17" s="18" t="e">
        <f>VLOOKUP($E17, 'Unit Conversions Array'!$B$4:$Z$23, 25, FALSE)</f>
        <v>#N/A</v>
      </c>
      <c r="U17">
        <f>VLOOKUP(E17, 'General Project Info'!$R$30:$W$40, 6, FALSE)</f>
        <v>1</v>
      </c>
      <c r="V17" s="18">
        <f t="shared" si="11"/>
        <v>0</v>
      </c>
      <c r="W17" s="18">
        <f>IFERROR(F17*INDEX('Unit Conversions Array'!$E$4:$Y$23, MATCH('Scenarios &amp; Measures'!E17, 'Unit Conversions Array'!$B$4:$B$23, 0), MATCH('Scenarios &amp; Measures'!G17, 'Unit Conversions Array'!$E$3:$Y$3, 0)), 0)</f>
        <v>0</v>
      </c>
      <c r="X17" s="19">
        <f t="shared" si="12"/>
        <v>0</v>
      </c>
      <c r="Y17" s="19">
        <f t="shared" si="13"/>
        <v>0</v>
      </c>
      <c r="Z17" s="19">
        <f t="shared" si="14"/>
        <v>0</v>
      </c>
      <c r="AA17" s="17">
        <f t="shared" ref="AA17:AA27" si="25">IFERROR(ROUNDDOWN(($X$10-(K17-L17))/K17, 0)*K17+(K17-L17), 0)</f>
        <v>0</v>
      </c>
      <c r="AB17" s="17">
        <f t="shared" si="15"/>
        <v>20</v>
      </c>
      <c r="AC17" s="17">
        <f t="shared" si="16"/>
        <v>-20</v>
      </c>
      <c r="AD17" s="17">
        <f t="shared" si="17"/>
        <v>0</v>
      </c>
      <c r="AE17" s="18">
        <f t="shared" si="18"/>
        <v>0</v>
      </c>
      <c r="AF17" s="19">
        <f t="shared" si="6"/>
        <v>0</v>
      </c>
      <c r="AG17" s="12">
        <f t="shared" si="7"/>
        <v>0</v>
      </c>
      <c r="AH17" s="17">
        <f t="shared" si="19"/>
        <v>0</v>
      </c>
      <c r="AI17" s="23">
        <f>IF($V$10="RECs", -Y17/VLOOKUP("RECs", 'General Project Info'!$R$30:$W$40, 5, FALSE)*$V$11*IF($X$11=$Z$12, $X$10, (1/($Z$12-$X$11))*(1-($X$11/$Z$12)^$X$10)*$Z$12), 0)</f>
        <v>0</v>
      </c>
      <c r="AJ17" s="17">
        <f t="shared" si="20"/>
        <v>0</v>
      </c>
      <c r="AK17" s="17">
        <f t="shared" si="21"/>
        <v>0</v>
      </c>
      <c r="AL17" s="17">
        <f t="shared" si="22"/>
        <v>0</v>
      </c>
      <c r="AN17" s="12">
        <f t="shared" si="23"/>
        <v>0</v>
      </c>
      <c r="AO17" s="12">
        <f t="shared" si="24"/>
        <v>0</v>
      </c>
      <c r="AP17" s="12">
        <f t="shared" si="24"/>
        <v>0</v>
      </c>
      <c r="AQ17" s="12">
        <f t="shared" si="24"/>
        <v>0</v>
      </c>
      <c r="AR17" s="12">
        <f t="shared" si="24"/>
        <v>0</v>
      </c>
      <c r="AS17" s="12">
        <f t="shared" si="24"/>
        <v>0</v>
      </c>
      <c r="AT17" s="12">
        <f t="shared" si="24"/>
        <v>0</v>
      </c>
      <c r="AU17" s="12">
        <f t="shared" si="24"/>
        <v>0</v>
      </c>
      <c r="AV17" s="12">
        <f t="shared" si="24"/>
        <v>0</v>
      </c>
      <c r="AW17" s="12">
        <f t="shared" si="24"/>
        <v>0</v>
      </c>
      <c r="AX17" s="12">
        <f t="shared" si="24"/>
        <v>0</v>
      </c>
      <c r="AY17" s="12">
        <f t="shared" si="24"/>
        <v>0</v>
      </c>
      <c r="AZ17" s="12">
        <f t="shared" si="24"/>
        <v>0</v>
      </c>
      <c r="BA17" s="12">
        <f t="shared" si="24"/>
        <v>0</v>
      </c>
      <c r="BB17" s="12">
        <f t="shared" si="24"/>
        <v>0</v>
      </c>
      <c r="BC17" s="12">
        <f t="shared" si="24"/>
        <v>0</v>
      </c>
      <c r="BD17" s="12">
        <f t="shared" si="24"/>
        <v>0</v>
      </c>
      <c r="BE17" s="12">
        <f t="shared" si="24"/>
        <v>0</v>
      </c>
      <c r="BF17" s="12">
        <f t="shared" si="24"/>
        <v>0</v>
      </c>
      <c r="BG17" s="12">
        <f t="shared" si="24"/>
        <v>0</v>
      </c>
      <c r="BH17" s="12">
        <f t="shared" si="24"/>
        <v>0</v>
      </c>
      <c r="BI17" s="12">
        <f t="shared" si="24"/>
        <v>0</v>
      </c>
      <c r="BJ17" s="12">
        <f t="shared" si="24"/>
        <v>0</v>
      </c>
      <c r="BK17" s="12">
        <f t="shared" si="24"/>
        <v>0</v>
      </c>
      <c r="BL17" s="12">
        <f t="shared" si="24"/>
        <v>0</v>
      </c>
      <c r="BM17" s="12">
        <f t="shared" si="24"/>
        <v>0</v>
      </c>
      <c r="BN17" s="12">
        <f t="shared" si="24"/>
        <v>0</v>
      </c>
      <c r="BO17" s="12">
        <f t="shared" si="24"/>
        <v>0</v>
      </c>
      <c r="BP17" s="12">
        <f t="shared" si="24"/>
        <v>0</v>
      </c>
      <c r="BQ17" s="12">
        <f t="shared" si="24"/>
        <v>0</v>
      </c>
      <c r="BR17" s="12">
        <f t="shared" si="24"/>
        <v>0</v>
      </c>
      <c r="BS17" s="12">
        <f t="shared" si="24"/>
        <v>0</v>
      </c>
      <c r="BT17" s="12">
        <f t="shared" si="24"/>
        <v>0</v>
      </c>
      <c r="BU17" s="12">
        <f t="shared" si="24"/>
        <v>0</v>
      </c>
      <c r="BV17" s="12">
        <f t="shared" si="24"/>
        <v>0</v>
      </c>
      <c r="BW17" s="12">
        <f t="shared" si="24"/>
        <v>0</v>
      </c>
      <c r="BX17" s="12">
        <f t="shared" si="24"/>
        <v>0</v>
      </c>
      <c r="BY17" s="12">
        <f t="shared" si="24"/>
        <v>0</v>
      </c>
      <c r="BZ17" s="12">
        <f t="shared" si="24"/>
        <v>0</v>
      </c>
      <c r="CA17" s="12">
        <f t="shared" si="24"/>
        <v>0</v>
      </c>
      <c r="CB17" s="12">
        <f t="shared" si="24"/>
        <v>0</v>
      </c>
      <c r="CC17" s="12">
        <f t="shared" si="24"/>
        <v>0</v>
      </c>
      <c r="CD17" s="12">
        <f t="shared" si="24"/>
        <v>0</v>
      </c>
      <c r="CE17" s="12">
        <f t="shared" si="24"/>
        <v>0</v>
      </c>
      <c r="CF17" s="12">
        <f t="shared" si="24"/>
        <v>0</v>
      </c>
      <c r="CG17" s="12">
        <f t="shared" si="24"/>
        <v>0</v>
      </c>
      <c r="CH17" s="12">
        <f t="shared" si="24"/>
        <v>0</v>
      </c>
      <c r="CI17" s="12">
        <f t="shared" si="24"/>
        <v>0</v>
      </c>
      <c r="CJ17" s="12">
        <f t="shared" si="24"/>
        <v>0</v>
      </c>
      <c r="CK17" s="12">
        <f t="shared" si="24"/>
        <v>0</v>
      </c>
      <c r="CL17" s="12">
        <f t="shared" si="24"/>
        <v>0</v>
      </c>
      <c r="CM17" s="12">
        <f t="shared" si="24"/>
        <v>0</v>
      </c>
      <c r="CN17" s="12">
        <f t="shared" si="24"/>
        <v>0</v>
      </c>
      <c r="CO17" s="12">
        <f t="shared" si="24"/>
        <v>0</v>
      </c>
      <c r="CP17" s="12">
        <f t="shared" si="24"/>
        <v>0</v>
      </c>
      <c r="CQ17" s="12">
        <f t="shared" si="24"/>
        <v>0</v>
      </c>
      <c r="CR17" s="12">
        <f t="shared" si="24"/>
        <v>0</v>
      </c>
      <c r="CS17" s="12">
        <f t="shared" si="24"/>
        <v>0</v>
      </c>
      <c r="CT17" s="12">
        <f t="shared" si="24"/>
        <v>0</v>
      </c>
      <c r="CU17" s="12">
        <f t="shared" si="24"/>
        <v>0</v>
      </c>
      <c r="CV17" s="12">
        <f t="shared" si="24"/>
        <v>0</v>
      </c>
      <c r="CW17" s="12">
        <f t="shared" si="24"/>
        <v>0</v>
      </c>
      <c r="CX17" s="12">
        <f t="shared" si="24"/>
        <v>0</v>
      </c>
      <c r="CY17" s="12">
        <f t="shared" si="24"/>
        <v>0</v>
      </c>
      <c r="CZ17" s="12">
        <f t="shared" si="24"/>
        <v>0</v>
      </c>
      <c r="DA17" s="12">
        <f t="shared" si="9"/>
        <v>0</v>
      </c>
      <c r="DB17" s="12">
        <f t="shared" si="9"/>
        <v>0</v>
      </c>
      <c r="DC17" s="12">
        <f t="shared" si="9"/>
        <v>0</v>
      </c>
      <c r="DD17" s="12">
        <f t="shared" si="9"/>
        <v>0</v>
      </c>
      <c r="DE17" s="12">
        <f t="shared" si="9"/>
        <v>0</v>
      </c>
      <c r="DF17" s="12">
        <f t="shared" si="9"/>
        <v>0</v>
      </c>
      <c r="DG17" s="12">
        <f t="shared" si="9"/>
        <v>0</v>
      </c>
      <c r="DH17" s="12">
        <f t="shared" si="9"/>
        <v>0</v>
      </c>
      <c r="DI17" s="12">
        <f t="shared" si="9"/>
        <v>0</v>
      </c>
      <c r="DJ17" s="12">
        <f t="shared" si="9"/>
        <v>0</v>
      </c>
      <c r="DK17" s="12">
        <f t="shared" si="9"/>
        <v>0</v>
      </c>
      <c r="DL17" s="12">
        <f t="shared" si="9"/>
        <v>0</v>
      </c>
      <c r="DM17" s="12">
        <f t="shared" si="9"/>
        <v>0</v>
      </c>
      <c r="DN17" s="12">
        <f t="shared" si="9"/>
        <v>0</v>
      </c>
      <c r="DO17" s="12">
        <f t="shared" si="9"/>
        <v>0</v>
      </c>
      <c r="DP17" s="12">
        <f t="shared" si="9"/>
        <v>0</v>
      </c>
      <c r="DQ17" s="12">
        <f t="shared" si="9"/>
        <v>0</v>
      </c>
      <c r="DR17" s="12">
        <f t="shared" si="9"/>
        <v>0</v>
      </c>
      <c r="DS17" s="12">
        <f t="shared" si="9"/>
        <v>0</v>
      </c>
      <c r="DT17" s="12">
        <f t="shared" si="9"/>
        <v>0</v>
      </c>
      <c r="DU17" s="12">
        <f t="shared" si="9"/>
        <v>0</v>
      </c>
      <c r="DV17" s="12">
        <f t="shared" si="9"/>
        <v>0</v>
      </c>
      <c r="DW17" s="12">
        <f t="shared" si="9"/>
        <v>0</v>
      </c>
      <c r="DX17" s="12">
        <f t="shared" si="9"/>
        <v>0</v>
      </c>
      <c r="DY17" s="12">
        <f t="shared" si="9"/>
        <v>0</v>
      </c>
      <c r="DZ17" s="12">
        <f t="shared" si="9"/>
        <v>0</v>
      </c>
      <c r="EA17" s="12">
        <f t="shared" si="9"/>
        <v>0</v>
      </c>
      <c r="EB17" s="12">
        <f t="shared" si="9"/>
        <v>0</v>
      </c>
      <c r="EC17" s="12">
        <f t="shared" si="9"/>
        <v>0</v>
      </c>
      <c r="ED17" s="12">
        <f t="shared" si="9"/>
        <v>0</v>
      </c>
      <c r="EE17" s="12">
        <f t="shared" si="9"/>
        <v>0</v>
      </c>
      <c r="EF17" s="12">
        <f t="shared" si="9"/>
        <v>0</v>
      </c>
      <c r="EG17" s="12">
        <f t="shared" si="9"/>
        <v>0</v>
      </c>
      <c r="EH17" s="12">
        <f t="shared" si="9"/>
        <v>0</v>
      </c>
      <c r="EI17" s="12">
        <f t="shared" si="9"/>
        <v>0</v>
      </c>
      <c r="EJ17" s="12">
        <f t="shared" si="9"/>
        <v>0</v>
      </c>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row>
    <row r="18" spans="1:348" x14ac:dyDescent="0.35">
      <c r="A18" s="132"/>
      <c r="B18" s="27"/>
      <c r="C18" s="170"/>
      <c r="D18" s="170"/>
      <c r="E18" s="103"/>
      <c r="F18" s="105"/>
      <c r="G18" s="36" t="str">
        <f>IFERROR(VLOOKUP(E18, 'General Project Info'!$C$30:$I$40, 7, FALSE), "")</f>
        <v/>
      </c>
      <c r="H18" s="41">
        <f>IFERROR(X18*VLOOKUP(E18, 'General Project Info'!$R$30:$T$40, 3, FALSE), 0)</f>
        <v>0</v>
      </c>
      <c r="I18" s="42">
        <f>IFERROR(IF($T18="Yes", $X18*VLOOKUP($E18, 'General Project Info'!$R$30:$W$40, 5, FALSE), 0), 0)</f>
        <v>0</v>
      </c>
      <c r="J18" s="42">
        <f>IFERROR(IF($T18="No", $X18*VLOOKUP($E18, 'General Project Info'!$R$30:$W$40, 5, FALSE), 0), 0)</f>
        <v>0</v>
      </c>
      <c r="K18" s="108"/>
      <c r="L18" s="108"/>
      <c r="M18" s="109"/>
      <c r="N18" s="109"/>
      <c r="O18" s="109"/>
      <c r="P18" s="43">
        <f t="shared" si="10"/>
        <v>0</v>
      </c>
      <c r="Q18" s="27"/>
      <c r="R18" s="132"/>
      <c r="T18" s="18" t="e">
        <f>VLOOKUP($E18, 'Unit Conversions Array'!$B$4:$Z$23, 25, FALSE)</f>
        <v>#N/A</v>
      </c>
      <c r="U18">
        <f>VLOOKUP(E18, 'General Project Info'!$R$30:$W$40, 6, FALSE)</f>
        <v>1</v>
      </c>
      <c r="V18" s="18">
        <f t="shared" si="11"/>
        <v>0</v>
      </c>
      <c r="W18" s="18">
        <f>IFERROR(F18*INDEX('Unit Conversions Array'!$E$4:$Y$23, MATCH('Scenarios &amp; Measures'!E18, 'Unit Conversions Array'!$B$4:$B$23, 0), MATCH('Scenarios &amp; Measures'!G18, 'Unit Conversions Array'!$E$3:$Y$3, 0)), 0)</f>
        <v>0</v>
      </c>
      <c r="X18" s="19">
        <f t="shared" si="12"/>
        <v>0</v>
      </c>
      <c r="Y18" s="19">
        <f t="shared" si="13"/>
        <v>0</v>
      </c>
      <c r="Z18" s="19">
        <f t="shared" si="14"/>
        <v>0</v>
      </c>
      <c r="AA18" s="17">
        <f t="shared" si="25"/>
        <v>0</v>
      </c>
      <c r="AB18" s="17">
        <f t="shared" si="15"/>
        <v>20</v>
      </c>
      <c r="AC18" s="17">
        <f t="shared" si="16"/>
        <v>-20</v>
      </c>
      <c r="AD18" s="17">
        <f t="shared" si="17"/>
        <v>0</v>
      </c>
      <c r="AE18" s="18">
        <f t="shared" si="18"/>
        <v>0</v>
      </c>
      <c r="AF18" s="19">
        <f t="shared" si="6"/>
        <v>0</v>
      </c>
      <c r="AG18" s="12">
        <f t="shared" si="7"/>
        <v>0</v>
      </c>
      <c r="AH18" s="17">
        <f t="shared" si="19"/>
        <v>0</v>
      </c>
      <c r="AI18" s="23">
        <f>IF($V$10="RECs", -Y18/VLOOKUP("RECs", 'General Project Info'!$R$30:$W$40, 5, FALSE)*$V$11*IF($X$11=$Z$12, $X$10, (1/($Z$12-$X$11))*(1-($X$11/$Z$12)^$X$10)*$Z$12), 0)</f>
        <v>0</v>
      </c>
      <c r="AJ18" s="17">
        <f t="shared" si="20"/>
        <v>0</v>
      </c>
      <c r="AK18" s="17">
        <f t="shared" si="21"/>
        <v>0</v>
      </c>
      <c r="AL18" s="17">
        <f t="shared" si="22"/>
        <v>0</v>
      </c>
      <c r="AN18" s="12">
        <f t="shared" si="23"/>
        <v>0</v>
      </c>
      <c r="AO18" s="12">
        <f t="shared" si="24"/>
        <v>0</v>
      </c>
      <c r="AP18" s="12">
        <f t="shared" si="24"/>
        <v>0</v>
      </c>
      <c r="AQ18" s="12">
        <f t="shared" si="24"/>
        <v>0</v>
      </c>
      <c r="AR18" s="12">
        <f t="shared" si="24"/>
        <v>0</v>
      </c>
      <c r="AS18" s="12">
        <f t="shared" si="24"/>
        <v>0</v>
      </c>
      <c r="AT18" s="12">
        <f t="shared" si="24"/>
        <v>0</v>
      </c>
      <c r="AU18" s="12">
        <f t="shared" si="24"/>
        <v>0</v>
      </c>
      <c r="AV18" s="12">
        <f t="shared" si="24"/>
        <v>0</v>
      </c>
      <c r="AW18" s="12">
        <f t="shared" si="24"/>
        <v>0</v>
      </c>
      <c r="AX18" s="12">
        <f t="shared" si="24"/>
        <v>0</v>
      </c>
      <c r="AY18" s="12">
        <f t="shared" si="24"/>
        <v>0</v>
      </c>
      <c r="AZ18" s="12">
        <f t="shared" si="24"/>
        <v>0</v>
      </c>
      <c r="BA18" s="12">
        <f t="shared" si="24"/>
        <v>0</v>
      </c>
      <c r="BB18" s="12">
        <f t="shared" si="24"/>
        <v>0</v>
      </c>
      <c r="BC18" s="12">
        <f t="shared" si="24"/>
        <v>0</v>
      </c>
      <c r="BD18" s="12">
        <f t="shared" si="24"/>
        <v>0</v>
      </c>
      <c r="BE18" s="12">
        <f t="shared" si="24"/>
        <v>0</v>
      </c>
      <c r="BF18" s="12">
        <f t="shared" si="24"/>
        <v>0</v>
      </c>
      <c r="BG18" s="12">
        <f t="shared" si="24"/>
        <v>0</v>
      </c>
      <c r="BH18" s="12">
        <f t="shared" si="24"/>
        <v>0</v>
      </c>
      <c r="BI18" s="12">
        <f t="shared" si="24"/>
        <v>0</v>
      </c>
      <c r="BJ18" s="12">
        <f t="shared" si="24"/>
        <v>0</v>
      </c>
      <c r="BK18" s="12">
        <f t="shared" si="24"/>
        <v>0</v>
      </c>
      <c r="BL18" s="12">
        <f t="shared" si="24"/>
        <v>0</v>
      </c>
      <c r="BM18" s="12">
        <f t="shared" si="24"/>
        <v>0</v>
      </c>
      <c r="BN18" s="12">
        <f t="shared" si="24"/>
        <v>0</v>
      </c>
      <c r="BO18" s="12">
        <f t="shared" si="24"/>
        <v>0</v>
      </c>
      <c r="BP18" s="12">
        <f t="shared" si="24"/>
        <v>0</v>
      </c>
      <c r="BQ18" s="12">
        <f t="shared" si="24"/>
        <v>0</v>
      </c>
      <c r="BR18" s="12">
        <f t="shared" si="24"/>
        <v>0</v>
      </c>
      <c r="BS18" s="12">
        <f t="shared" si="24"/>
        <v>0</v>
      </c>
      <c r="BT18" s="12">
        <f t="shared" si="24"/>
        <v>0</v>
      </c>
      <c r="BU18" s="12">
        <f t="shared" si="24"/>
        <v>0</v>
      </c>
      <c r="BV18" s="12">
        <f t="shared" si="24"/>
        <v>0</v>
      </c>
      <c r="BW18" s="12">
        <f t="shared" si="24"/>
        <v>0</v>
      </c>
      <c r="BX18" s="12">
        <f t="shared" si="24"/>
        <v>0</v>
      </c>
      <c r="BY18" s="12">
        <f t="shared" si="24"/>
        <v>0</v>
      </c>
      <c r="BZ18" s="12">
        <f t="shared" si="24"/>
        <v>0</v>
      </c>
      <c r="CA18" s="12">
        <f t="shared" si="24"/>
        <v>0</v>
      </c>
      <c r="CB18" s="12">
        <f t="shared" si="24"/>
        <v>0</v>
      </c>
      <c r="CC18" s="12">
        <f t="shared" si="24"/>
        <v>0</v>
      </c>
      <c r="CD18" s="12">
        <f t="shared" si="24"/>
        <v>0</v>
      </c>
      <c r="CE18" s="12">
        <f t="shared" si="24"/>
        <v>0</v>
      </c>
      <c r="CF18" s="12">
        <f t="shared" si="24"/>
        <v>0</v>
      </c>
      <c r="CG18" s="12">
        <f t="shared" si="24"/>
        <v>0</v>
      </c>
      <c r="CH18" s="12">
        <f t="shared" si="24"/>
        <v>0</v>
      </c>
      <c r="CI18" s="12">
        <f t="shared" si="24"/>
        <v>0</v>
      </c>
      <c r="CJ18" s="12">
        <f t="shared" si="24"/>
        <v>0</v>
      </c>
      <c r="CK18" s="12">
        <f t="shared" si="24"/>
        <v>0</v>
      </c>
      <c r="CL18" s="12">
        <f t="shared" si="24"/>
        <v>0</v>
      </c>
      <c r="CM18" s="12">
        <f t="shared" si="24"/>
        <v>0</v>
      </c>
      <c r="CN18" s="12">
        <f t="shared" si="24"/>
        <v>0</v>
      </c>
      <c r="CO18" s="12">
        <f t="shared" si="24"/>
        <v>0</v>
      </c>
      <c r="CP18" s="12">
        <f t="shared" si="24"/>
        <v>0</v>
      </c>
      <c r="CQ18" s="12">
        <f t="shared" si="24"/>
        <v>0</v>
      </c>
      <c r="CR18" s="12">
        <f t="shared" si="24"/>
        <v>0</v>
      </c>
      <c r="CS18" s="12">
        <f t="shared" si="24"/>
        <v>0</v>
      </c>
      <c r="CT18" s="12">
        <f t="shared" si="24"/>
        <v>0</v>
      </c>
      <c r="CU18" s="12">
        <f t="shared" si="24"/>
        <v>0</v>
      </c>
      <c r="CV18" s="12">
        <f t="shared" si="24"/>
        <v>0</v>
      </c>
      <c r="CW18" s="12">
        <f t="shared" si="24"/>
        <v>0</v>
      </c>
      <c r="CX18" s="12">
        <f t="shared" si="24"/>
        <v>0</v>
      </c>
      <c r="CY18" s="12">
        <f t="shared" si="24"/>
        <v>0</v>
      </c>
      <c r="CZ18" s="12">
        <f t="shared" si="24"/>
        <v>0</v>
      </c>
      <c r="DA18" s="12">
        <f t="shared" si="9"/>
        <v>0</v>
      </c>
      <c r="DB18" s="12">
        <f t="shared" si="9"/>
        <v>0</v>
      </c>
      <c r="DC18" s="12">
        <f t="shared" si="9"/>
        <v>0</v>
      </c>
      <c r="DD18" s="12">
        <f t="shared" si="9"/>
        <v>0</v>
      </c>
      <c r="DE18" s="12">
        <f t="shared" si="9"/>
        <v>0</v>
      </c>
      <c r="DF18" s="12">
        <f t="shared" si="9"/>
        <v>0</v>
      </c>
      <c r="DG18" s="12">
        <f t="shared" si="9"/>
        <v>0</v>
      </c>
      <c r="DH18" s="12">
        <f t="shared" si="9"/>
        <v>0</v>
      </c>
      <c r="DI18" s="12">
        <f t="shared" si="9"/>
        <v>0</v>
      </c>
      <c r="DJ18" s="12">
        <f t="shared" si="9"/>
        <v>0</v>
      </c>
      <c r="DK18" s="12">
        <f t="shared" si="9"/>
        <v>0</v>
      </c>
      <c r="DL18" s="12">
        <f t="shared" si="9"/>
        <v>0</v>
      </c>
      <c r="DM18" s="12">
        <f t="shared" si="9"/>
        <v>0</v>
      </c>
      <c r="DN18" s="12">
        <f t="shared" si="9"/>
        <v>0</v>
      </c>
      <c r="DO18" s="12">
        <f t="shared" si="9"/>
        <v>0</v>
      </c>
      <c r="DP18" s="12">
        <f t="shared" si="9"/>
        <v>0</v>
      </c>
      <c r="DQ18" s="12">
        <f t="shared" si="9"/>
        <v>0</v>
      </c>
      <c r="DR18" s="12">
        <f t="shared" si="9"/>
        <v>0</v>
      </c>
      <c r="DS18" s="12">
        <f t="shared" si="9"/>
        <v>0</v>
      </c>
      <c r="DT18" s="12">
        <f t="shared" si="9"/>
        <v>0</v>
      </c>
      <c r="DU18" s="12">
        <f t="shared" si="9"/>
        <v>0</v>
      </c>
      <c r="DV18" s="12">
        <f t="shared" si="9"/>
        <v>0</v>
      </c>
      <c r="DW18" s="12">
        <f t="shared" si="9"/>
        <v>0</v>
      </c>
      <c r="DX18" s="12">
        <f t="shared" si="9"/>
        <v>0</v>
      </c>
      <c r="DY18" s="12">
        <f t="shared" si="9"/>
        <v>0</v>
      </c>
      <c r="DZ18" s="12">
        <f t="shared" si="9"/>
        <v>0</v>
      </c>
      <c r="EA18" s="12">
        <f t="shared" si="9"/>
        <v>0</v>
      </c>
      <c r="EB18" s="12">
        <f t="shared" si="9"/>
        <v>0</v>
      </c>
      <c r="EC18" s="12">
        <f t="shared" si="9"/>
        <v>0</v>
      </c>
      <c r="ED18" s="12">
        <f t="shared" si="9"/>
        <v>0</v>
      </c>
      <c r="EE18" s="12">
        <f t="shared" si="9"/>
        <v>0</v>
      </c>
      <c r="EF18" s="12">
        <f t="shared" si="9"/>
        <v>0</v>
      </c>
      <c r="EG18" s="12">
        <f t="shared" si="9"/>
        <v>0</v>
      </c>
      <c r="EH18" s="12">
        <f t="shared" si="9"/>
        <v>0</v>
      </c>
      <c r="EI18" s="12">
        <f t="shared" si="9"/>
        <v>0</v>
      </c>
      <c r="EJ18" s="12">
        <f t="shared" si="9"/>
        <v>0</v>
      </c>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row>
    <row r="19" spans="1:348" x14ac:dyDescent="0.35">
      <c r="A19" s="132"/>
      <c r="B19" s="27"/>
      <c r="C19" s="170"/>
      <c r="D19" s="170"/>
      <c r="E19" s="103"/>
      <c r="F19" s="105"/>
      <c r="G19" s="36" t="str">
        <f>IFERROR(VLOOKUP(E19, 'General Project Info'!$C$30:$I$40, 7, FALSE), "")</f>
        <v/>
      </c>
      <c r="H19" s="41">
        <f>IFERROR(X19*VLOOKUP(E19, 'General Project Info'!$R$30:$T$40, 3, FALSE), 0)</f>
        <v>0</v>
      </c>
      <c r="I19" s="42">
        <f>IFERROR(IF($T19="Yes", $X19*VLOOKUP($E19, 'General Project Info'!$R$30:$W$40, 5, FALSE), 0), 0)</f>
        <v>0</v>
      </c>
      <c r="J19" s="42">
        <f>IFERROR(IF($T19="No", $X19*VLOOKUP($E19, 'General Project Info'!$R$30:$W$40, 5, FALSE), 0), 0)</f>
        <v>0</v>
      </c>
      <c r="K19" s="108"/>
      <c r="L19" s="108"/>
      <c r="M19" s="109"/>
      <c r="N19" s="109"/>
      <c r="O19" s="109"/>
      <c r="P19" s="43">
        <f t="shared" si="10"/>
        <v>0</v>
      </c>
      <c r="Q19" s="27"/>
      <c r="R19" s="132"/>
      <c r="T19" s="18" t="e">
        <f>VLOOKUP($E19, 'Unit Conversions Array'!$B$4:$Z$23, 25, FALSE)</f>
        <v>#N/A</v>
      </c>
      <c r="U19">
        <f>VLOOKUP(E19, 'General Project Info'!$R$30:$W$40, 6, FALSE)</f>
        <v>1</v>
      </c>
      <c r="V19" s="18">
        <f t="shared" si="11"/>
        <v>0</v>
      </c>
      <c r="W19" s="18">
        <f>IFERROR(F19*INDEX('Unit Conversions Array'!$E$4:$Y$23, MATCH('Scenarios &amp; Measures'!E19, 'Unit Conversions Array'!$B$4:$B$23, 0), MATCH('Scenarios &amp; Measures'!G19, 'Unit Conversions Array'!$E$3:$Y$3, 0)), 0)</f>
        <v>0</v>
      </c>
      <c r="X19" s="19">
        <f t="shared" si="12"/>
        <v>0</v>
      </c>
      <c r="Y19" s="19">
        <f t="shared" si="13"/>
        <v>0</v>
      </c>
      <c r="Z19" s="19">
        <f t="shared" si="14"/>
        <v>0</v>
      </c>
      <c r="AA19" s="17">
        <f t="shared" si="25"/>
        <v>0</v>
      </c>
      <c r="AB19" s="17">
        <f t="shared" si="15"/>
        <v>20</v>
      </c>
      <c r="AC19" s="17">
        <f t="shared" si="16"/>
        <v>-20</v>
      </c>
      <c r="AD19" s="17">
        <f t="shared" si="17"/>
        <v>0</v>
      </c>
      <c r="AE19" s="18">
        <f t="shared" si="18"/>
        <v>0</v>
      </c>
      <c r="AF19" s="19">
        <f t="shared" si="6"/>
        <v>0</v>
      </c>
      <c r="AG19" s="12">
        <f t="shared" si="7"/>
        <v>0</v>
      </c>
      <c r="AH19" s="17">
        <f t="shared" si="19"/>
        <v>0</v>
      </c>
      <c r="AI19" s="23">
        <f>IF($V$10="RECs", -Y19/VLOOKUP("RECs", 'General Project Info'!$R$30:$W$40, 5, FALSE)*$V$11*IF($X$11=$Z$12, $X$10, (1/($Z$12-$X$11))*(1-($X$11/$Z$12)^$X$10)*$Z$12), 0)</f>
        <v>0</v>
      </c>
      <c r="AJ19" s="17">
        <f t="shared" si="20"/>
        <v>0</v>
      </c>
      <c r="AK19" s="17">
        <f t="shared" si="21"/>
        <v>0</v>
      </c>
      <c r="AL19" s="17">
        <f t="shared" si="22"/>
        <v>0</v>
      </c>
      <c r="AN19" s="12">
        <f t="shared" si="23"/>
        <v>0</v>
      </c>
      <c r="AO19" s="12">
        <f t="shared" si="24"/>
        <v>0</v>
      </c>
      <c r="AP19" s="12">
        <f t="shared" si="24"/>
        <v>0</v>
      </c>
      <c r="AQ19" s="12">
        <f t="shared" si="24"/>
        <v>0</v>
      </c>
      <c r="AR19" s="12">
        <f t="shared" si="24"/>
        <v>0</v>
      </c>
      <c r="AS19" s="12">
        <f t="shared" si="24"/>
        <v>0</v>
      </c>
      <c r="AT19" s="12">
        <f t="shared" si="24"/>
        <v>0</v>
      </c>
      <c r="AU19" s="12">
        <f t="shared" si="24"/>
        <v>0</v>
      </c>
      <c r="AV19" s="12">
        <f t="shared" si="24"/>
        <v>0</v>
      </c>
      <c r="AW19" s="12">
        <f t="shared" si="24"/>
        <v>0</v>
      </c>
      <c r="AX19" s="12">
        <f t="shared" si="24"/>
        <v>0</v>
      </c>
      <c r="AY19" s="12">
        <f t="shared" si="24"/>
        <v>0</v>
      </c>
      <c r="AZ19" s="12">
        <f t="shared" si="24"/>
        <v>0</v>
      </c>
      <c r="BA19" s="12">
        <f t="shared" si="24"/>
        <v>0</v>
      </c>
      <c r="BB19" s="12">
        <f t="shared" si="24"/>
        <v>0</v>
      </c>
      <c r="BC19" s="12">
        <f t="shared" si="24"/>
        <v>0</v>
      </c>
      <c r="BD19" s="12">
        <f t="shared" si="24"/>
        <v>0</v>
      </c>
      <c r="BE19" s="12">
        <f t="shared" si="24"/>
        <v>0</v>
      </c>
      <c r="BF19" s="12">
        <f t="shared" si="24"/>
        <v>0</v>
      </c>
      <c r="BG19" s="12">
        <f t="shared" si="24"/>
        <v>0</v>
      </c>
      <c r="BH19" s="12">
        <f t="shared" si="24"/>
        <v>0</v>
      </c>
      <c r="BI19" s="12">
        <f t="shared" si="24"/>
        <v>0</v>
      </c>
      <c r="BJ19" s="12">
        <f t="shared" si="24"/>
        <v>0</v>
      </c>
      <c r="BK19" s="12">
        <f t="shared" si="24"/>
        <v>0</v>
      </c>
      <c r="BL19" s="12">
        <f t="shared" si="24"/>
        <v>0</v>
      </c>
      <c r="BM19" s="12">
        <f t="shared" si="24"/>
        <v>0</v>
      </c>
      <c r="BN19" s="12">
        <f t="shared" si="24"/>
        <v>0</v>
      </c>
      <c r="BO19" s="12">
        <f t="shared" si="24"/>
        <v>0</v>
      </c>
      <c r="BP19" s="12">
        <f t="shared" si="24"/>
        <v>0</v>
      </c>
      <c r="BQ19" s="12">
        <f t="shared" si="24"/>
        <v>0</v>
      </c>
      <c r="BR19" s="12">
        <f t="shared" si="24"/>
        <v>0</v>
      </c>
      <c r="BS19" s="12">
        <f t="shared" si="24"/>
        <v>0</v>
      </c>
      <c r="BT19" s="12">
        <f t="shared" si="24"/>
        <v>0</v>
      </c>
      <c r="BU19" s="12">
        <f t="shared" si="24"/>
        <v>0</v>
      </c>
      <c r="BV19" s="12">
        <f t="shared" si="24"/>
        <v>0</v>
      </c>
      <c r="BW19" s="12">
        <f t="shared" si="24"/>
        <v>0</v>
      </c>
      <c r="BX19" s="12">
        <f t="shared" si="24"/>
        <v>0</v>
      </c>
      <c r="BY19" s="12">
        <f t="shared" si="24"/>
        <v>0</v>
      </c>
      <c r="BZ19" s="12">
        <f t="shared" si="24"/>
        <v>0</v>
      </c>
      <c r="CA19" s="12">
        <f t="shared" si="24"/>
        <v>0</v>
      </c>
      <c r="CB19" s="12">
        <f t="shared" si="24"/>
        <v>0</v>
      </c>
      <c r="CC19" s="12">
        <f t="shared" si="24"/>
        <v>0</v>
      </c>
      <c r="CD19" s="12">
        <f t="shared" si="24"/>
        <v>0</v>
      </c>
      <c r="CE19" s="12">
        <f t="shared" si="24"/>
        <v>0</v>
      </c>
      <c r="CF19" s="12">
        <f t="shared" si="24"/>
        <v>0</v>
      </c>
      <c r="CG19" s="12">
        <f t="shared" si="24"/>
        <v>0</v>
      </c>
      <c r="CH19" s="12">
        <f t="shared" si="24"/>
        <v>0</v>
      </c>
      <c r="CI19" s="12">
        <f t="shared" si="24"/>
        <v>0</v>
      </c>
      <c r="CJ19" s="12">
        <f t="shared" si="24"/>
        <v>0</v>
      </c>
      <c r="CK19" s="12">
        <f t="shared" si="24"/>
        <v>0</v>
      </c>
      <c r="CL19" s="12">
        <f t="shared" si="24"/>
        <v>0</v>
      </c>
      <c r="CM19" s="12">
        <f t="shared" si="24"/>
        <v>0</v>
      </c>
      <c r="CN19" s="12">
        <f t="shared" si="24"/>
        <v>0</v>
      </c>
      <c r="CO19" s="12">
        <f t="shared" si="24"/>
        <v>0</v>
      </c>
      <c r="CP19" s="12">
        <f t="shared" si="24"/>
        <v>0</v>
      </c>
      <c r="CQ19" s="12">
        <f t="shared" si="24"/>
        <v>0</v>
      </c>
      <c r="CR19" s="12">
        <f t="shared" si="24"/>
        <v>0</v>
      </c>
      <c r="CS19" s="12">
        <f t="shared" si="24"/>
        <v>0</v>
      </c>
      <c r="CT19" s="12">
        <f t="shared" si="24"/>
        <v>0</v>
      </c>
      <c r="CU19" s="12">
        <f t="shared" si="24"/>
        <v>0</v>
      </c>
      <c r="CV19" s="12">
        <f t="shared" si="24"/>
        <v>0</v>
      </c>
      <c r="CW19" s="12">
        <f t="shared" si="24"/>
        <v>0</v>
      </c>
      <c r="CX19" s="12">
        <f t="shared" si="24"/>
        <v>0</v>
      </c>
      <c r="CY19" s="12">
        <f t="shared" si="24"/>
        <v>0</v>
      </c>
      <c r="CZ19" s="12">
        <f t="shared" ref="CZ19:EJ22" si="26">IFERROR(IF(CZ$13&gt;=$X$10, 0, IF(MOD($AD19+CZ$13, $K19)=0, (($M19-$N19)*$Z$11^CZ$13), 0)), 0)</f>
        <v>0</v>
      </c>
      <c r="DA19" s="12">
        <f t="shared" si="26"/>
        <v>0</v>
      </c>
      <c r="DB19" s="12">
        <f t="shared" si="26"/>
        <v>0</v>
      </c>
      <c r="DC19" s="12">
        <f t="shared" si="26"/>
        <v>0</v>
      </c>
      <c r="DD19" s="12">
        <f t="shared" si="26"/>
        <v>0</v>
      </c>
      <c r="DE19" s="12">
        <f t="shared" si="26"/>
        <v>0</v>
      </c>
      <c r="DF19" s="12">
        <f t="shared" si="26"/>
        <v>0</v>
      </c>
      <c r="DG19" s="12">
        <f t="shared" si="26"/>
        <v>0</v>
      </c>
      <c r="DH19" s="12">
        <f t="shared" si="26"/>
        <v>0</v>
      </c>
      <c r="DI19" s="12">
        <f t="shared" si="26"/>
        <v>0</v>
      </c>
      <c r="DJ19" s="12">
        <f t="shared" si="26"/>
        <v>0</v>
      </c>
      <c r="DK19" s="12">
        <f t="shared" si="26"/>
        <v>0</v>
      </c>
      <c r="DL19" s="12">
        <f t="shared" si="26"/>
        <v>0</v>
      </c>
      <c r="DM19" s="12">
        <f t="shared" si="26"/>
        <v>0</v>
      </c>
      <c r="DN19" s="12">
        <f t="shared" si="26"/>
        <v>0</v>
      </c>
      <c r="DO19" s="12">
        <f t="shared" si="26"/>
        <v>0</v>
      </c>
      <c r="DP19" s="12">
        <f t="shared" si="26"/>
        <v>0</v>
      </c>
      <c r="DQ19" s="12">
        <f t="shared" si="26"/>
        <v>0</v>
      </c>
      <c r="DR19" s="12">
        <f t="shared" si="26"/>
        <v>0</v>
      </c>
      <c r="DS19" s="12">
        <f t="shared" si="26"/>
        <v>0</v>
      </c>
      <c r="DT19" s="12">
        <f t="shared" si="26"/>
        <v>0</v>
      </c>
      <c r="DU19" s="12">
        <f t="shared" si="26"/>
        <v>0</v>
      </c>
      <c r="DV19" s="12">
        <f t="shared" si="26"/>
        <v>0</v>
      </c>
      <c r="DW19" s="12">
        <f t="shared" si="26"/>
        <v>0</v>
      </c>
      <c r="DX19" s="12">
        <f t="shared" si="26"/>
        <v>0</v>
      </c>
      <c r="DY19" s="12">
        <f t="shared" si="26"/>
        <v>0</v>
      </c>
      <c r="DZ19" s="12">
        <f t="shared" si="26"/>
        <v>0</v>
      </c>
      <c r="EA19" s="12">
        <f t="shared" si="26"/>
        <v>0</v>
      </c>
      <c r="EB19" s="12">
        <f t="shared" si="26"/>
        <v>0</v>
      </c>
      <c r="EC19" s="12">
        <f t="shared" si="26"/>
        <v>0</v>
      </c>
      <c r="ED19" s="12">
        <f t="shared" si="26"/>
        <v>0</v>
      </c>
      <c r="EE19" s="12">
        <f t="shared" si="26"/>
        <v>0</v>
      </c>
      <c r="EF19" s="12">
        <f t="shared" si="26"/>
        <v>0</v>
      </c>
      <c r="EG19" s="12">
        <f t="shared" si="26"/>
        <v>0</v>
      </c>
      <c r="EH19" s="12">
        <f t="shared" si="26"/>
        <v>0</v>
      </c>
      <c r="EI19" s="12">
        <f t="shared" si="26"/>
        <v>0</v>
      </c>
      <c r="EJ19" s="12">
        <f t="shared" si="26"/>
        <v>0</v>
      </c>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row>
    <row r="20" spans="1:348" x14ac:dyDescent="0.35">
      <c r="A20" s="132"/>
      <c r="B20" s="27"/>
      <c r="C20" s="170"/>
      <c r="D20" s="170"/>
      <c r="E20" s="103"/>
      <c r="F20" s="105"/>
      <c r="G20" s="36" t="str">
        <f>IFERROR(VLOOKUP(E20, 'General Project Info'!$C$30:$I$40, 7, FALSE), "")</f>
        <v/>
      </c>
      <c r="H20" s="41">
        <f>IFERROR(X20*VLOOKUP(E20, 'General Project Info'!$R$30:$T$40, 3, FALSE), 0)</f>
        <v>0</v>
      </c>
      <c r="I20" s="42">
        <f>IFERROR(IF($T20="Yes", $X20*VLOOKUP($E20, 'General Project Info'!$R$30:$W$40, 5, FALSE), 0), 0)</f>
        <v>0</v>
      </c>
      <c r="J20" s="42">
        <f>IFERROR(IF($T20="No", $X20*VLOOKUP($E20, 'General Project Info'!$R$30:$W$40, 5, FALSE), 0), 0)</f>
        <v>0</v>
      </c>
      <c r="K20" s="108"/>
      <c r="L20" s="108"/>
      <c r="M20" s="109"/>
      <c r="N20" s="109"/>
      <c r="O20" s="109"/>
      <c r="P20" s="43">
        <f t="shared" si="10"/>
        <v>0</v>
      </c>
      <c r="Q20" s="27"/>
      <c r="R20" s="132"/>
      <c r="T20" s="18" t="e">
        <f>VLOOKUP($E20, 'Unit Conversions Array'!$B$4:$Z$23, 25, FALSE)</f>
        <v>#N/A</v>
      </c>
      <c r="U20">
        <f>VLOOKUP(E20, 'General Project Info'!$R$30:$W$40, 6, FALSE)</f>
        <v>1</v>
      </c>
      <c r="V20" s="18">
        <f t="shared" si="11"/>
        <v>0</v>
      </c>
      <c r="W20" s="18">
        <f>IFERROR(F20*INDEX('Unit Conversions Array'!$E$4:$Y$23, MATCH('Scenarios &amp; Measures'!E20, 'Unit Conversions Array'!$B$4:$B$23, 0), MATCH('Scenarios &amp; Measures'!G20, 'Unit Conversions Array'!$E$3:$Y$3, 0)), 0)</f>
        <v>0</v>
      </c>
      <c r="X20" s="19">
        <f t="shared" si="12"/>
        <v>0</v>
      </c>
      <c r="Y20" s="19">
        <f t="shared" si="13"/>
        <v>0</v>
      </c>
      <c r="Z20" s="19">
        <f t="shared" si="14"/>
        <v>0</v>
      </c>
      <c r="AA20" s="17">
        <f t="shared" si="25"/>
        <v>0</v>
      </c>
      <c r="AB20" s="17">
        <f t="shared" si="15"/>
        <v>20</v>
      </c>
      <c r="AC20" s="17">
        <f t="shared" si="16"/>
        <v>-20</v>
      </c>
      <c r="AD20" s="17">
        <f t="shared" si="17"/>
        <v>0</v>
      </c>
      <c r="AE20" s="18">
        <f t="shared" si="18"/>
        <v>0</v>
      </c>
      <c r="AF20" s="19">
        <f t="shared" si="6"/>
        <v>0</v>
      </c>
      <c r="AG20" s="12">
        <f t="shared" si="7"/>
        <v>0</v>
      </c>
      <c r="AH20" s="17">
        <f t="shared" si="19"/>
        <v>0</v>
      </c>
      <c r="AI20" s="23">
        <f>IF($V$10="RECs", -Y20/VLOOKUP("RECs", 'General Project Info'!$R$30:$W$40, 5, FALSE)*$V$11*IF($X$11=$Z$12, $X$10, (1/($Z$12-$X$11))*(1-($X$11/$Z$12)^$X$10)*$Z$12), 0)</f>
        <v>0</v>
      </c>
      <c r="AJ20" s="17">
        <f t="shared" si="20"/>
        <v>0</v>
      </c>
      <c r="AK20" s="17">
        <f t="shared" si="21"/>
        <v>0</v>
      </c>
      <c r="AL20" s="17">
        <f t="shared" si="22"/>
        <v>0</v>
      </c>
      <c r="AN20" s="12">
        <f t="shared" si="23"/>
        <v>0</v>
      </c>
      <c r="AO20" s="12">
        <f t="shared" ref="AO20:CZ23" si="27">IFERROR(IF(AO$13&gt;=$X$10, 0, IF(MOD($AD20+AO$13, $K20)=0, (($M20-$N20)*$Z$11^AO$13), 0)), 0)</f>
        <v>0</v>
      </c>
      <c r="AP20" s="12">
        <f t="shared" si="27"/>
        <v>0</v>
      </c>
      <c r="AQ20" s="12">
        <f t="shared" si="27"/>
        <v>0</v>
      </c>
      <c r="AR20" s="12">
        <f t="shared" si="27"/>
        <v>0</v>
      </c>
      <c r="AS20" s="12">
        <f t="shared" si="27"/>
        <v>0</v>
      </c>
      <c r="AT20" s="12">
        <f t="shared" si="27"/>
        <v>0</v>
      </c>
      <c r="AU20" s="12">
        <f t="shared" si="27"/>
        <v>0</v>
      </c>
      <c r="AV20" s="12">
        <f t="shared" si="27"/>
        <v>0</v>
      </c>
      <c r="AW20" s="12">
        <f t="shared" si="27"/>
        <v>0</v>
      </c>
      <c r="AX20" s="12">
        <f t="shared" si="27"/>
        <v>0</v>
      </c>
      <c r="AY20" s="12">
        <f t="shared" si="27"/>
        <v>0</v>
      </c>
      <c r="AZ20" s="12">
        <f t="shared" si="27"/>
        <v>0</v>
      </c>
      <c r="BA20" s="12">
        <f t="shared" si="27"/>
        <v>0</v>
      </c>
      <c r="BB20" s="12">
        <f t="shared" si="27"/>
        <v>0</v>
      </c>
      <c r="BC20" s="12">
        <f t="shared" si="27"/>
        <v>0</v>
      </c>
      <c r="BD20" s="12">
        <f t="shared" si="27"/>
        <v>0</v>
      </c>
      <c r="BE20" s="12">
        <f t="shared" si="27"/>
        <v>0</v>
      </c>
      <c r="BF20" s="12">
        <f t="shared" si="27"/>
        <v>0</v>
      </c>
      <c r="BG20" s="12">
        <f t="shared" si="27"/>
        <v>0</v>
      </c>
      <c r="BH20" s="12">
        <f t="shared" si="27"/>
        <v>0</v>
      </c>
      <c r="BI20" s="12">
        <f t="shared" si="27"/>
        <v>0</v>
      </c>
      <c r="BJ20" s="12">
        <f t="shared" si="27"/>
        <v>0</v>
      </c>
      <c r="BK20" s="12">
        <f t="shared" si="27"/>
        <v>0</v>
      </c>
      <c r="BL20" s="12">
        <f t="shared" si="27"/>
        <v>0</v>
      </c>
      <c r="BM20" s="12">
        <f t="shared" si="27"/>
        <v>0</v>
      </c>
      <c r="BN20" s="12">
        <f t="shared" si="27"/>
        <v>0</v>
      </c>
      <c r="BO20" s="12">
        <f t="shared" si="27"/>
        <v>0</v>
      </c>
      <c r="BP20" s="12">
        <f t="shared" si="27"/>
        <v>0</v>
      </c>
      <c r="BQ20" s="12">
        <f t="shared" si="27"/>
        <v>0</v>
      </c>
      <c r="BR20" s="12">
        <f t="shared" si="27"/>
        <v>0</v>
      </c>
      <c r="BS20" s="12">
        <f t="shared" si="27"/>
        <v>0</v>
      </c>
      <c r="BT20" s="12">
        <f t="shared" si="27"/>
        <v>0</v>
      </c>
      <c r="BU20" s="12">
        <f t="shared" si="27"/>
        <v>0</v>
      </c>
      <c r="BV20" s="12">
        <f t="shared" si="27"/>
        <v>0</v>
      </c>
      <c r="BW20" s="12">
        <f t="shared" si="27"/>
        <v>0</v>
      </c>
      <c r="BX20" s="12">
        <f t="shared" si="27"/>
        <v>0</v>
      </c>
      <c r="BY20" s="12">
        <f t="shared" si="27"/>
        <v>0</v>
      </c>
      <c r="BZ20" s="12">
        <f t="shared" si="27"/>
        <v>0</v>
      </c>
      <c r="CA20" s="12">
        <f t="shared" si="27"/>
        <v>0</v>
      </c>
      <c r="CB20" s="12">
        <f t="shared" si="27"/>
        <v>0</v>
      </c>
      <c r="CC20" s="12">
        <f t="shared" si="27"/>
        <v>0</v>
      </c>
      <c r="CD20" s="12">
        <f t="shared" si="27"/>
        <v>0</v>
      </c>
      <c r="CE20" s="12">
        <f t="shared" si="27"/>
        <v>0</v>
      </c>
      <c r="CF20" s="12">
        <f t="shared" si="27"/>
        <v>0</v>
      </c>
      <c r="CG20" s="12">
        <f t="shared" si="27"/>
        <v>0</v>
      </c>
      <c r="CH20" s="12">
        <f t="shared" si="27"/>
        <v>0</v>
      </c>
      <c r="CI20" s="12">
        <f t="shared" si="27"/>
        <v>0</v>
      </c>
      <c r="CJ20" s="12">
        <f t="shared" si="27"/>
        <v>0</v>
      </c>
      <c r="CK20" s="12">
        <f t="shared" si="27"/>
        <v>0</v>
      </c>
      <c r="CL20" s="12">
        <f t="shared" si="27"/>
        <v>0</v>
      </c>
      <c r="CM20" s="12">
        <f t="shared" si="27"/>
        <v>0</v>
      </c>
      <c r="CN20" s="12">
        <f t="shared" si="27"/>
        <v>0</v>
      </c>
      <c r="CO20" s="12">
        <f t="shared" si="27"/>
        <v>0</v>
      </c>
      <c r="CP20" s="12">
        <f t="shared" si="27"/>
        <v>0</v>
      </c>
      <c r="CQ20" s="12">
        <f t="shared" si="27"/>
        <v>0</v>
      </c>
      <c r="CR20" s="12">
        <f t="shared" si="27"/>
        <v>0</v>
      </c>
      <c r="CS20" s="12">
        <f t="shared" si="27"/>
        <v>0</v>
      </c>
      <c r="CT20" s="12">
        <f t="shared" si="27"/>
        <v>0</v>
      </c>
      <c r="CU20" s="12">
        <f t="shared" si="27"/>
        <v>0</v>
      </c>
      <c r="CV20" s="12">
        <f t="shared" si="27"/>
        <v>0</v>
      </c>
      <c r="CW20" s="12">
        <f t="shared" si="27"/>
        <v>0</v>
      </c>
      <c r="CX20" s="12">
        <f t="shared" si="27"/>
        <v>0</v>
      </c>
      <c r="CY20" s="12">
        <f t="shared" si="27"/>
        <v>0</v>
      </c>
      <c r="CZ20" s="12">
        <f t="shared" si="27"/>
        <v>0</v>
      </c>
      <c r="DA20" s="12">
        <f t="shared" si="26"/>
        <v>0</v>
      </c>
      <c r="DB20" s="12">
        <f t="shared" si="26"/>
        <v>0</v>
      </c>
      <c r="DC20" s="12">
        <f t="shared" si="26"/>
        <v>0</v>
      </c>
      <c r="DD20" s="12">
        <f t="shared" si="26"/>
        <v>0</v>
      </c>
      <c r="DE20" s="12">
        <f t="shared" si="26"/>
        <v>0</v>
      </c>
      <c r="DF20" s="12">
        <f t="shared" si="26"/>
        <v>0</v>
      </c>
      <c r="DG20" s="12">
        <f t="shared" si="26"/>
        <v>0</v>
      </c>
      <c r="DH20" s="12">
        <f t="shared" si="26"/>
        <v>0</v>
      </c>
      <c r="DI20" s="12">
        <f t="shared" si="26"/>
        <v>0</v>
      </c>
      <c r="DJ20" s="12">
        <f t="shared" si="26"/>
        <v>0</v>
      </c>
      <c r="DK20" s="12">
        <f t="shared" si="26"/>
        <v>0</v>
      </c>
      <c r="DL20" s="12">
        <f t="shared" si="26"/>
        <v>0</v>
      </c>
      <c r="DM20" s="12">
        <f t="shared" si="26"/>
        <v>0</v>
      </c>
      <c r="DN20" s="12">
        <f t="shared" si="26"/>
        <v>0</v>
      </c>
      <c r="DO20" s="12">
        <f t="shared" si="26"/>
        <v>0</v>
      </c>
      <c r="DP20" s="12">
        <f t="shared" si="26"/>
        <v>0</v>
      </c>
      <c r="DQ20" s="12">
        <f t="shared" si="26"/>
        <v>0</v>
      </c>
      <c r="DR20" s="12">
        <f t="shared" si="26"/>
        <v>0</v>
      </c>
      <c r="DS20" s="12">
        <f t="shared" si="26"/>
        <v>0</v>
      </c>
      <c r="DT20" s="12">
        <f t="shared" si="26"/>
        <v>0</v>
      </c>
      <c r="DU20" s="12">
        <f t="shared" si="26"/>
        <v>0</v>
      </c>
      <c r="DV20" s="12">
        <f t="shared" si="26"/>
        <v>0</v>
      </c>
      <c r="DW20" s="12">
        <f t="shared" si="26"/>
        <v>0</v>
      </c>
      <c r="DX20" s="12">
        <f t="shared" si="26"/>
        <v>0</v>
      </c>
      <c r="DY20" s="12">
        <f t="shared" si="26"/>
        <v>0</v>
      </c>
      <c r="DZ20" s="12">
        <f t="shared" si="26"/>
        <v>0</v>
      </c>
      <c r="EA20" s="12">
        <f t="shared" si="26"/>
        <v>0</v>
      </c>
      <c r="EB20" s="12">
        <f t="shared" si="26"/>
        <v>0</v>
      </c>
      <c r="EC20" s="12">
        <f t="shared" si="26"/>
        <v>0</v>
      </c>
      <c r="ED20" s="12">
        <f t="shared" si="26"/>
        <v>0</v>
      </c>
      <c r="EE20" s="12">
        <f t="shared" si="26"/>
        <v>0</v>
      </c>
      <c r="EF20" s="12">
        <f t="shared" si="26"/>
        <v>0</v>
      </c>
      <c r="EG20" s="12">
        <f t="shared" si="26"/>
        <v>0</v>
      </c>
      <c r="EH20" s="12">
        <f t="shared" si="26"/>
        <v>0</v>
      </c>
      <c r="EI20" s="12">
        <f t="shared" si="26"/>
        <v>0</v>
      </c>
      <c r="EJ20" s="12">
        <f t="shared" si="26"/>
        <v>0</v>
      </c>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row>
    <row r="21" spans="1:348" x14ac:dyDescent="0.35">
      <c r="A21" s="132"/>
      <c r="B21" s="27"/>
      <c r="C21" s="170"/>
      <c r="D21" s="170"/>
      <c r="E21" s="103"/>
      <c r="F21" s="105"/>
      <c r="G21" s="36" t="str">
        <f>IFERROR(VLOOKUP(E21, 'General Project Info'!$C$30:$I$40, 7, FALSE), "")</f>
        <v/>
      </c>
      <c r="H21" s="41">
        <f>IFERROR(X21*VLOOKUP(E21, 'General Project Info'!$R$30:$T$40, 3, FALSE), 0)</f>
        <v>0</v>
      </c>
      <c r="I21" s="42">
        <f>IFERROR(IF($T21="Yes", $X21*VLOOKUP($E21, 'General Project Info'!$R$30:$W$40, 5, FALSE), 0), 0)</f>
        <v>0</v>
      </c>
      <c r="J21" s="42">
        <f>IFERROR(IF($T21="No", $X21*VLOOKUP($E21, 'General Project Info'!$R$30:$W$40, 5, FALSE), 0), 0)</f>
        <v>0</v>
      </c>
      <c r="K21" s="108"/>
      <c r="L21" s="108"/>
      <c r="M21" s="109"/>
      <c r="N21" s="109"/>
      <c r="O21" s="109"/>
      <c r="P21" s="43">
        <f t="shared" si="10"/>
        <v>0</v>
      </c>
      <c r="Q21" s="27"/>
      <c r="R21" s="132"/>
      <c r="T21" s="18" t="e">
        <f>VLOOKUP($E21, 'Unit Conversions Array'!$B$4:$Z$23, 25, FALSE)</f>
        <v>#N/A</v>
      </c>
      <c r="U21">
        <f>VLOOKUP(E21, 'General Project Info'!$R$30:$W$40, 6, FALSE)</f>
        <v>1</v>
      </c>
      <c r="V21" s="18">
        <f t="shared" si="11"/>
        <v>0</v>
      </c>
      <c r="W21" s="18">
        <f>IFERROR(F21*INDEX('Unit Conversions Array'!$E$4:$Y$23, MATCH('Scenarios &amp; Measures'!E21, 'Unit Conversions Array'!$B$4:$B$23, 0), MATCH('Scenarios &amp; Measures'!G21, 'Unit Conversions Array'!$E$3:$Y$3, 0)), 0)</f>
        <v>0</v>
      </c>
      <c r="X21" s="19">
        <f t="shared" si="12"/>
        <v>0</v>
      </c>
      <c r="Y21" s="19">
        <f t="shared" si="13"/>
        <v>0</v>
      </c>
      <c r="Z21" s="19">
        <f t="shared" si="14"/>
        <v>0</v>
      </c>
      <c r="AA21" s="17">
        <f t="shared" si="25"/>
        <v>0</v>
      </c>
      <c r="AB21" s="17">
        <f t="shared" si="15"/>
        <v>20</v>
      </c>
      <c r="AC21" s="17">
        <f t="shared" si="16"/>
        <v>-20</v>
      </c>
      <c r="AD21" s="17">
        <f t="shared" si="17"/>
        <v>0</v>
      </c>
      <c r="AE21" s="18">
        <f t="shared" si="18"/>
        <v>0</v>
      </c>
      <c r="AF21" s="19">
        <f t="shared" si="6"/>
        <v>0</v>
      </c>
      <c r="AG21" s="12">
        <f t="shared" si="7"/>
        <v>0</v>
      </c>
      <c r="AH21" s="17">
        <f t="shared" si="19"/>
        <v>0</v>
      </c>
      <c r="AI21" s="23">
        <f>IF($V$10="RECs", -Y21/VLOOKUP("RECs", 'General Project Info'!$R$30:$W$40, 5, FALSE)*$V$11*IF($X$11=$Z$12, $X$10, (1/($Z$12-$X$11))*(1-($X$11/$Z$12)^$X$10)*$Z$12), 0)</f>
        <v>0</v>
      </c>
      <c r="AJ21" s="17">
        <f t="shared" si="20"/>
        <v>0</v>
      </c>
      <c r="AK21" s="17">
        <f t="shared" si="21"/>
        <v>0</v>
      </c>
      <c r="AL21" s="17">
        <f t="shared" si="22"/>
        <v>0</v>
      </c>
      <c r="AN21" s="12">
        <f t="shared" si="23"/>
        <v>0</v>
      </c>
      <c r="AO21" s="12">
        <f t="shared" si="27"/>
        <v>0</v>
      </c>
      <c r="AP21" s="12">
        <f t="shared" si="27"/>
        <v>0</v>
      </c>
      <c r="AQ21" s="12">
        <f t="shared" si="27"/>
        <v>0</v>
      </c>
      <c r="AR21" s="12">
        <f t="shared" si="27"/>
        <v>0</v>
      </c>
      <c r="AS21" s="12">
        <f t="shared" si="27"/>
        <v>0</v>
      </c>
      <c r="AT21" s="12">
        <f t="shared" si="27"/>
        <v>0</v>
      </c>
      <c r="AU21" s="12">
        <f t="shared" si="27"/>
        <v>0</v>
      </c>
      <c r="AV21" s="12">
        <f t="shared" si="27"/>
        <v>0</v>
      </c>
      <c r="AW21" s="12">
        <f t="shared" si="27"/>
        <v>0</v>
      </c>
      <c r="AX21" s="12">
        <f t="shared" si="27"/>
        <v>0</v>
      </c>
      <c r="AY21" s="12">
        <f t="shared" si="27"/>
        <v>0</v>
      </c>
      <c r="AZ21" s="12">
        <f t="shared" si="27"/>
        <v>0</v>
      </c>
      <c r="BA21" s="12">
        <f t="shared" si="27"/>
        <v>0</v>
      </c>
      <c r="BB21" s="12">
        <f t="shared" si="27"/>
        <v>0</v>
      </c>
      <c r="BC21" s="12">
        <f t="shared" si="27"/>
        <v>0</v>
      </c>
      <c r="BD21" s="12">
        <f t="shared" si="27"/>
        <v>0</v>
      </c>
      <c r="BE21" s="12">
        <f t="shared" si="27"/>
        <v>0</v>
      </c>
      <c r="BF21" s="12">
        <f t="shared" si="27"/>
        <v>0</v>
      </c>
      <c r="BG21" s="12">
        <f t="shared" si="27"/>
        <v>0</v>
      </c>
      <c r="BH21" s="12">
        <f t="shared" si="27"/>
        <v>0</v>
      </c>
      <c r="BI21" s="12">
        <f t="shared" si="27"/>
        <v>0</v>
      </c>
      <c r="BJ21" s="12">
        <f t="shared" si="27"/>
        <v>0</v>
      </c>
      <c r="BK21" s="12">
        <f t="shared" si="27"/>
        <v>0</v>
      </c>
      <c r="BL21" s="12">
        <f t="shared" si="27"/>
        <v>0</v>
      </c>
      <c r="BM21" s="12">
        <f t="shared" si="27"/>
        <v>0</v>
      </c>
      <c r="BN21" s="12">
        <f t="shared" si="27"/>
        <v>0</v>
      </c>
      <c r="BO21" s="12">
        <f t="shared" si="27"/>
        <v>0</v>
      </c>
      <c r="BP21" s="12">
        <f t="shared" si="27"/>
        <v>0</v>
      </c>
      <c r="BQ21" s="12">
        <f t="shared" si="27"/>
        <v>0</v>
      </c>
      <c r="BR21" s="12">
        <f t="shared" si="27"/>
        <v>0</v>
      </c>
      <c r="BS21" s="12">
        <f t="shared" si="27"/>
        <v>0</v>
      </c>
      <c r="BT21" s="12">
        <f t="shared" si="27"/>
        <v>0</v>
      </c>
      <c r="BU21" s="12">
        <f t="shared" si="27"/>
        <v>0</v>
      </c>
      <c r="BV21" s="12">
        <f t="shared" si="27"/>
        <v>0</v>
      </c>
      <c r="BW21" s="12">
        <f t="shared" si="27"/>
        <v>0</v>
      </c>
      <c r="BX21" s="12">
        <f t="shared" si="27"/>
        <v>0</v>
      </c>
      <c r="BY21" s="12">
        <f t="shared" si="27"/>
        <v>0</v>
      </c>
      <c r="BZ21" s="12">
        <f t="shared" si="27"/>
        <v>0</v>
      </c>
      <c r="CA21" s="12">
        <f t="shared" si="27"/>
        <v>0</v>
      </c>
      <c r="CB21" s="12">
        <f t="shared" si="27"/>
        <v>0</v>
      </c>
      <c r="CC21" s="12">
        <f t="shared" si="27"/>
        <v>0</v>
      </c>
      <c r="CD21" s="12">
        <f t="shared" si="27"/>
        <v>0</v>
      </c>
      <c r="CE21" s="12">
        <f t="shared" si="27"/>
        <v>0</v>
      </c>
      <c r="CF21" s="12">
        <f t="shared" si="27"/>
        <v>0</v>
      </c>
      <c r="CG21" s="12">
        <f t="shared" si="27"/>
        <v>0</v>
      </c>
      <c r="CH21" s="12">
        <f t="shared" si="27"/>
        <v>0</v>
      </c>
      <c r="CI21" s="12">
        <f t="shared" si="27"/>
        <v>0</v>
      </c>
      <c r="CJ21" s="12">
        <f t="shared" si="27"/>
        <v>0</v>
      </c>
      <c r="CK21" s="12">
        <f t="shared" si="27"/>
        <v>0</v>
      </c>
      <c r="CL21" s="12">
        <f t="shared" si="27"/>
        <v>0</v>
      </c>
      <c r="CM21" s="12">
        <f t="shared" si="27"/>
        <v>0</v>
      </c>
      <c r="CN21" s="12">
        <f t="shared" si="27"/>
        <v>0</v>
      </c>
      <c r="CO21" s="12">
        <f t="shared" si="27"/>
        <v>0</v>
      </c>
      <c r="CP21" s="12">
        <f t="shared" si="27"/>
        <v>0</v>
      </c>
      <c r="CQ21" s="12">
        <f t="shared" si="27"/>
        <v>0</v>
      </c>
      <c r="CR21" s="12">
        <f t="shared" si="27"/>
        <v>0</v>
      </c>
      <c r="CS21" s="12">
        <f t="shared" si="27"/>
        <v>0</v>
      </c>
      <c r="CT21" s="12">
        <f t="shared" si="27"/>
        <v>0</v>
      </c>
      <c r="CU21" s="12">
        <f t="shared" si="27"/>
        <v>0</v>
      </c>
      <c r="CV21" s="12">
        <f t="shared" si="27"/>
        <v>0</v>
      </c>
      <c r="CW21" s="12">
        <f t="shared" si="27"/>
        <v>0</v>
      </c>
      <c r="CX21" s="12">
        <f t="shared" si="27"/>
        <v>0</v>
      </c>
      <c r="CY21" s="12">
        <f t="shared" si="27"/>
        <v>0</v>
      </c>
      <c r="CZ21" s="12">
        <f t="shared" si="27"/>
        <v>0</v>
      </c>
      <c r="DA21" s="12">
        <f t="shared" si="26"/>
        <v>0</v>
      </c>
      <c r="DB21" s="12">
        <f t="shared" si="26"/>
        <v>0</v>
      </c>
      <c r="DC21" s="12">
        <f t="shared" si="26"/>
        <v>0</v>
      </c>
      <c r="DD21" s="12">
        <f t="shared" si="26"/>
        <v>0</v>
      </c>
      <c r="DE21" s="12">
        <f t="shared" si="26"/>
        <v>0</v>
      </c>
      <c r="DF21" s="12">
        <f t="shared" si="26"/>
        <v>0</v>
      </c>
      <c r="DG21" s="12">
        <f t="shared" si="26"/>
        <v>0</v>
      </c>
      <c r="DH21" s="12">
        <f t="shared" si="26"/>
        <v>0</v>
      </c>
      <c r="DI21" s="12">
        <f t="shared" si="26"/>
        <v>0</v>
      </c>
      <c r="DJ21" s="12">
        <f t="shared" si="26"/>
        <v>0</v>
      </c>
      <c r="DK21" s="12">
        <f t="shared" si="26"/>
        <v>0</v>
      </c>
      <c r="DL21" s="12">
        <f t="shared" si="26"/>
        <v>0</v>
      </c>
      <c r="DM21" s="12">
        <f t="shared" si="26"/>
        <v>0</v>
      </c>
      <c r="DN21" s="12">
        <f t="shared" si="26"/>
        <v>0</v>
      </c>
      <c r="DO21" s="12">
        <f t="shared" si="26"/>
        <v>0</v>
      </c>
      <c r="DP21" s="12">
        <f t="shared" si="26"/>
        <v>0</v>
      </c>
      <c r="DQ21" s="12">
        <f t="shared" si="26"/>
        <v>0</v>
      </c>
      <c r="DR21" s="12">
        <f t="shared" si="26"/>
        <v>0</v>
      </c>
      <c r="DS21" s="12">
        <f t="shared" si="26"/>
        <v>0</v>
      </c>
      <c r="DT21" s="12">
        <f t="shared" si="26"/>
        <v>0</v>
      </c>
      <c r="DU21" s="12">
        <f t="shared" si="26"/>
        <v>0</v>
      </c>
      <c r="DV21" s="12">
        <f t="shared" si="26"/>
        <v>0</v>
      </c>
      <c r="DW21" s="12">
        <f t="shared" si="26"/>
        <v>0</v>
      </c>
      <c r="DX21" s="12">
        <f t="shared" si="26"/>
        <v>0</v>
      </c>
      <c r="DY21" s="12">
        <f t="shared" si="26"/>
        <v>0</v>
      </c>
      <c r="DZ21" s="12">
        <f t="shared" si="26"/>
        <v>0</v>
      </c>
      <c r="EA21" s="12">
        <f t="shared" si="26"/>
        <v>0</v>
      </c>
      <c r="EB21" s="12">
        <f t="shared" si="26"/>
        <v>0</v>
      </c>
      <c r="EC21" s="12">
        <f t="shared" si="26"/>
        <v>0</v>
      </c>
      <c r="ED21" s="12">
        <f t="shared" si="26"/>
        <v>0</v>
      </c>
      <c r="EE21" s="12">
        <f t="shared" si="26"/>
        <v>0</v>
      </c>
      <c r="EF21" s="12">
        <f t="shared" si="26"/>
        <v>0</v>
      </c>
      <c r="EG21" s="12">
        <f t="shared" si="26"/>
        <v>0</v>
      </c>
      <c r="EH21" s="12">
        <f t="shared" si="26"/>
        <v>0</v>
      </c>
      <c r="EI21" s="12">
        <f t="shared" si="26"/>
        <v>0</v>
      </c>
      <c r="EJ21" s="12">
        <f t="shared" si="26"/>
        <v>0</v>
      </c>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row>
    <row r="22" spans="1:348" x14ac:dyDescent="0.35">
      <c r="A22" s="132"/>
      <c r="B22" s="27"/>
      <c r="C22" s="170"/>
      <c r="D22" s="170"/>
      <c r="E22" s="103"/>
      <c r="F22" s="105"/>
      <c r="G22" s="36" t="str">
        <f>IFERROR(VLOOKUP(E22, 'General Project Info'!$C$30:$I$40, 7, FALSE), "")</f>
        <v/>
      </c>
      <c r="H22" s="41">
        <f>IFERROR(X22*VLOOKUP(E22, 'General Project Info'!$R$30:$T$40, 3, FALSE), 0)</f>
        <v>0</v>
      </c>
      <c r="I22" s="42">
        <f>IFERROR(IF($T22="Yes", $X22*VLOOKUP($E22, 'General Project Info'!$R$30:$W$40, 5, FALSE), 0), 0)</f>
        <v>0</v>
      </c>
      <c r="J22" s="42">
        <f>IFERROR(IF($T22="No", $X22*VLOOKUP($E22, 'General Project Info'!$R$30:$W$40, 5, FALSE), 0), 0)</f>
        <v>0</v>
      </c>
      <c r="K22" s="108"/>
      <c r="L22" s="108"/>
      <c r="M22" s="109"/>
      <c r="N22" s="109"/>
      <c r="O22" s="109"/>
      <c r="P22" s="43">
        <f t="shared" si="10"/>
        <v>0</v>
      </c>
      <c r="Q22" s="27"/>
      <c r="R22" s="132"/>
      <c r="T22" s="18" t="e">
        <f>VLOOKUP($E22, 'Unit Conversions Array'!$B$4:$Z$23, 25, FALSE)</f>
        <v>#N/A</v>
      </c>
      <c r="U22">
        <f>VLOOKUP(E22, 'General Project Info'!$R$30:$W$40, 6, FALSE)</f>
        <v>1</v>
      </c>
      <c r="V22" s="18">
        <f t="shared" si="11"/>
        <v>0</v>
      </c>
      <c r="W22" s="18">
        <f>IFERROR(F22*INDEX('Unit Conversions Array'!$E$4:$Y$23, MATCH('Scenarios &amp; Measures'!E22, 'Unit Conversions Array'!$B$4:$B$23, 0), MATCH('Scenarios &amp; Measures'!G22, 'Unit Conversions Array'!$E$3:$Y$3, 0)), 0)</f>
        <v>0</v>
      </c>
      <c r="X22" s="19">
        <f t="shared" si="12"/>
        <v>0</v>
      </c>
      <c r="Y22" s="19">
        <f t="shared" si="13"/>
        <v>0</v>
      </c>
      <c r="Z22" s="19">
        <f t="shared" si="14"/>
        <v>0</v>
      </c>
      <c r="AA22" s="17">
        <f t="shared" si="25"/>
        <v>0</v>
      </c>
      <c r="AB22" s="17">
        <f t="shared" si="15"/>
        <v>20</v>
      </c>
      <c r="AC22" s="17">
        <f t="shared" si="16"/>
        <v>-20</v>
      </c>
      <c r="AD22" s="17">
        <f t="shared" si="17"/>
        <v>0</v>
      </c>
      <c r="AE22" s="18">
        <f t="shared" si="18"/>
        <v>0</v>
      </c>
      <c r="AF22" s="19">
        <f t="shared" si="6"/>
        <v>0</v>
      </c>
      <c r="AG22" s="12">
        <f t="shared" si="7"/>
        <v>0</v>
      </c>
      <c r="AH22" s="17">
        <f t="shared" si="19"/>
        <v>0</v>
      </c>
      <c r="AI22" s="23">
        <f>IF($V$10="RECs", -Y22/VLOOKUP("RECs", 'General Project Info'!$R$30:$W$40, 5, FALSE)*$V$11*IF($X$11=$Z$12, $X$10, (1/($Z$12-$X$11))*(1-($X$11/$Z$12)^$X$10)*$Z$12), 0)</f>
        <v>0</v>
      </c>
      <c r="AJ22" s="17">
        <f t="shared" si="20"/>
        <v>0</v>
      </c>
      <c r="AK22" s="17">
        <f t="shared" si="21"/>
        <v>0</v>
      </c>
      <c r="AL22" s="17">
        <f t="shared" si="22"/>
        <v>0</v>
      </c>
      <c r="AN22" s="12">
        <f t="shared" si="23"/>
        <v>0</v>
      </c>
      <c r="AO22" s="12">
        <f t="shared" si="27"/>
        <v>0</v>
      </c>
      <c r="AP22" s="12">
        <f t="shared" si="27"/>
        <v>0</v>
      </c>
      <c r="AQ22" s="12">
        <f t="shared" si="27"/>
        <v>0</v>
      </c>
      <c r="AR22" s="12">
        <f t="shared" si="27"/>
        <v>0</v>
      </c>
      <c r="AS22" s="12">
        <f t="shared" si="27"/>
        <v>0</v>
      </c>
      <c r="AT22" s="12">
        <f t="shared" si="27"/>
        <v>0</v>
      </c>
      <c r="AU22" s="12">
        <f t="shared" si="27"/>
        <v>0</v>
      </c>
      <c r="AV22" s="12">
        <f t="shared" si="27"/>
        <v>0</v>
      </c>
      <c r="AW22" s="12">
        <f t="shared" si="27"/>
        <v>0</v>
      </c>
      <c r="AX22" s="12">
        <f t="shared" si="27"/>
        <v>0</v>
      </c>
      <c r="AY22" s="12">
        <f t="shared" si="27"/>
        <v>0</v>
      </c>
      <c r="AZ22" s="12">
        <f t="shared" si="27"/>
        <v>0</v>
      </c>
      <c r="BA22" s="12">
        <f t="shared" si="27"/>
        <v>0</v>
      </c>
      <c r="BB22" s="12">
        <f t="shared" si="27"/>
        <v>0</v>
      </c>
      <c r="BC22" s="12">
        <f t="shared" si="27"/>
        <v>0</v>
      </c>
      <c r="BD22" s="12">
        <f t="shared" si="27"/>
        <v>0</v>
      </c>
      <c r="BE22" s="12">
        <f t="shared" si="27"/>
        <v>0</v>
      </c>
      <c r="BF22" s="12">
        <f t="shared" si="27"/>
        <v>0</v>
      </c>
      <c r="BG22" s="12">
        <f t="shared" si="27"/>
        <v>0</v>
      </c>
      <c r="BH22" s="12">
        <f t="shared" si="27"/>
        <v>0</v>
      </c>
      <c r="BI22" s="12">
        <f t="shared" si="27"/>
        <v>0</v>
      </c>
      <c r="BJ22" s="12">
        <f t="shared" si="27"/>
        <v>0</v>
      </c>
      <c r="BK22" s="12">
        <f t="shared" si="27"/>
        <v>0</v>
      </c>
      <c r="BL22" s="12">
        <f t="shared" si="27"/>
        <v>0</v>
      </c>
      <c r="BM22" s="12">
        <f t="shared" si="27"/>
        <v>0</v>
      </c>
      <c r="BN22" s="12">
        <f t="shared" si="27"/>
        <v>0</v>
      </c>
      <c r="BO22" s="12">
        <f t="shared" si="27"/>
        <v>0</v>
      </c>
      <c r="BP22" s="12">
        <f t="shared" si="27"/>
        <v>0</v>
      </c>
      <c r="BQ22" s="12">
        <f t="shared" si="27"/>
        <v>0</v>
      </c>
      <c r="BR22" s="12">
        <f t="shared" si="27"/>
        <v>0</v>
      </c>
      <c r="BS22" s="12">
        <f t="shared" si="27"/>
        <v>0</v>
      </c>
      <c r="BT22" s="12">
        <f t="shared" si="27"/>
        <v>0</v>
      </c>
      <c r="BU22" s="12">
        <f t="shared" si="27"/>
        <v>0</v>
      </c>
      <c r="BV22" s="12">
        <f t="shared" si="27"/>
        <v>0</v>
      </c>
      <c r="BW22" s="12">
        <f t="shared" si="27"/>
        <v>0</v>
      </c>
      <c r="BX22" s="12">
        <f t="shared" si="27"/>
        <v>0</v>
      </c>
      <c r="BY22" s="12">
        <f t="shared" si="27"/>
        <v>0</v>
      </c>
      <c r="BZ22" s="12">
        <f t="shared" si="27"/>
        <v>0</v>
      </c>
      <c r="CA22" s="12">
        <f t="shared" si="27"/>
        <v>0</v>
      </c>
      <c r="CB22" s="12">
        <f t="shared" si="27"/>
        <v>0</v>
      </c>
      <c r="CC22" s="12">
        <f t="shared" si="27"/>
        <v>0</v>
      </c>
      <c r="CD22" s="12">
        <f t="shared" si="27"/>
        <v>0</v>
      </c>
      <c r="CE22" s="12">
        <f t="shared" si="27"/>
        <v>0</v>
      </c>
      <c r="CF22" s="12">
        <f t="shared" si="27"/>
        <v>0</v>
      </c>
      <c r="CG22" s="12">
        <f t="shared" si="27"/>
        <v>0</v>
      </c>
      <c r="CH22" s="12">
        <f t="shared" si="27"/>
        <v>0</v>
      </c>
      <c r="CI22" s="12">
        <f t="shared" si="27"/>
        <v>0</v>
      </c>
      <c r="CJ22" s="12">
        <f t="shared" si="27"/>
        <v>0</v>
      </c>
      <c r="CK22" s="12">
        <f t="shared" si="27"/>
        <v>0</v>
      </c>
      <c r="CL22" s="12">
        <f t="shared" si="27"/>
        <v>0</v>
      </c>
      <c r="CM22" s="12">
        <f t="shared" si="27"/>
        <v>0</v>
      </c>
      <c r="CN22" s="12">
        <f t="shared" si="27"/>
        <v>0</v>
      </c>
      <c r="CO22" s="12">
        <f t="shared" si="27"/>
        <v>0</v>
      </c>
      <c r="CP22" s="12">
        <f t="shared" si="27"/>
        <v>0</v>
      </c>
      <c r="CQ22" s="12">
        <f t="shared" si="27"/>
        <v>0</v>
      </c>
      <c r="CR22" s="12">
        <f t="shared" si="27"/>
        <v>0</v>
      </c>
      <c r="CS22" s="12">
        <f t="shared" si="27"/>
        <v>0</v>
      </c>
      <c r="CT22" s="12">
        <f t="shared" si="27"/>
        <v>0</v>
      </c>
      <c r="CU22" s="12">
        <f t="shared" si="27"/>
        <v>0</v>
      </c>
      <c r="CV22" s="12">
        <f t="shared" si="27"/>
        <v>0</v>
      </c>
      <c r="CW22" s="12">
        <f t="shared" si="27"/>
        <v>0</v>
      </c>
      <c r="CX22" s="12">
        <f t="shared" si="27"/>
        <v>0</v>
      </c>
      <c r="CY22" s="12">
        <f t="shared" si="27"/>
        <v>0</v>
      </c>
      <c r="CZ22" s="12">
        <f t="shared" si="27"/>
        <v>0</v>
      </c>
      <c r="DA22" s="12">
        <f t="shared" si="26"/>
        <v>0</v>
      </c>
      <c r="DB22" s="12">
        <f t="shared" si="26"/>
        <v>0</v>
      </c>
      <c r="DC22" s="12">
        <f t="shared" si="26"/>
        <v>0</v>
      </c>
      <c r="DD22" s="12">
        <f t="shared" si="26"/>
        <v>0</v>
      </c>
      <c r="DE22" s="12">
        <f t="shared" si="26"/>
        <v>0</v>
      </c>
      <c r="DF22" s="12">
        <f t="shared" si="26"/>
        <v>0</v>
      </c>
      <c r="DG22" s="12">
        <f t="shared" si="26"/>
        <v>0</v>
      </c>
      <c r="DH22" s="12">
        <f t="shared" si="26"/>
        <v>0</v>
      </c>
      <c r="DI22" s="12">
        <f t="shared" si="26"/>
        <v>0</v>
      </c>
      <c r="DJ22" s="12">
        <f t="shared" si="26"/>
        <v>0</v>
      </c>
      <c r="DK22" s="12">
        <f t="shared" si="26"/>
        <v>0</v>
      </c>
      <c r="DL22" s="12">
        <f t="shared" si="26"/>
        <v>0</v>
      </c>
      <c r="DM22" s="12">
        <f t="shared" si="26"/>
        <v>0</v>
      </c>
      <c r="DN22" s="12">
        <f t="shared" si="26"/>
        <v>0</v>
      </c>
      <c r="DO22" s="12">
        <f t="shared" si="26"/>
        <v>0</v>
      </c>
      <c r="DP22" s="12">
        <f t="shared" si="26"/>
        <v>0</v>
      </c>
      <c r="DQ22" s="12">
        <f t="shared" si="26"/>
        <v>0</v>
      </c>
      <c r="DR22" s="12">
        <f t="shared" si="26"/>
        <v>0</v>
      </c>
      <c r="DS22" s="12">
        <f t="shared" si="26"/>
        <v>0</v>
      </c>
      <c r="DT22" s="12">
        <f t="shared" si="26"/>
        <v>0</v>
      </c>
      <c r="DU22" s="12">
        <f t="shared" si="26"/>
        <v>0</v>
      </c>
      <c r="DV22" s="12">
        <f t="shared" si="26"/>
        <v>0</v>
      </c>
      <c r="DW22" s="12">
        <f t="shared" si="26"/>
        <v>0</v>
      </c>
      <c r="DX22" s="12">
        <f t="shared" si="26"/>
        <v>0</v>
      </c>
      <c r="DY22" s="12">
        <f t="shared" si="26"/>
        <v>0</v>
      </c>
      <c r="DZ22" s="12">
        <f t="shared" si="26"/>
        <v>0</v>
      </c>
      <c r="EA22" s="12">
        <f t="shared" si="26"/>
        <v>0</v>
      </c>
      <c r="EB22" s="12">
        <f t="shared" si="26"/>
        <v>0</v>
      </c>
      <c r="EC22" s="12">
        <f t="shared" si="26"/>
        <v>0</v>
      </c>
      <c r="ED22" s="12">
        <f t="shared" si="26"/>
        <v>0</v>
      </c>
      <c r="EE22" s="12">
        <f t="shared" si="26"/>
        <v>0</v>
      </c>
      <c r="EF22" s="12">
        <f t="shared" si="26"/>
        <v>0</v>
      </c>
      <c r="EG22" s="12">
        <f t="shared" si="26"/>
        <v>0</v>
      </c>
      <c r="EH22" s="12">
        <f t="shared" si="26"/>
        <v>0</v>
      </c>
      <c r="EI22" s="12">
        <f t="shared" si="26"/>
        <v>0</v>
      </c>
      <c r="EJ22" s="12">
        <f t="shared" si="26"/>
        <v>0</v>
      </c>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row>
    <row r="23" spans="1:348" x14ac:dyDescent="0.35">
      <c r="A23" s="132"/>
      <c r="B23" s="27"/>
      <c r="C23" s="170"/>
      <c r="D23" s="170"/>
      <c r="E23" s="103"/>
      <c r="F23" s="105"/>
      <c r="G23" s="36" t="str">
        <f>IFERROR(VLOOKUP(E23, 'General Project Info'!$C$30:$I$40, 7, FALSE), "")</f>
        <v/>
      </c>
      <c r="H23" s="41">
        <f>IFERROR(X23*VLOOKUP(E23, 'General Project Info'!$R$30:$T$40, 3, FALSE), 0)</f>
        <v>0</v>
      </c>
      <c r="I23" s="42">
        <f>IFERROR(IF($T23="Yes", $X23*VLOOKUP($E23, 'General Project Info'!$R$30:$W$40, 5, FALSE), 0), 0)</f>
        <v>0</v>
      </c>
      <c r="J23" s="42">
        <f>IFERROR(IF($T23="No", $X23*VLOOKUP($E23, 'General Project Info'!$R$30:$W$40, 5, FALSE), 0), 0)</f>
        <v>0</v>
      </c>
      <c r="K23" s="108"/>
      <c r="L23" s="108"/>
      <c r="M23" s="109"/>
      <c r="N23" s="109"/>
      <c r="O23" s="109"/>
      <c r="P23" s="43">
        <f t="shared" si="10"/>
        <v>0</v>
      </c>
      <c r="Q23" s="27"/>
      <c r="R23" s="132"/>
      <c r="T23" s="18" t="e">
        <f>VLOOKUP($E23, 'Unit Conversions Array'!$B$4:$Z$23, 25, FALSE)</f>
        <v>#N/A</v>
      </c>
      <c r="U23">
        <f>VLOOKUP(E23, 'General Project Info'!$R$30:$W$40, 6, FALSE)</f>
        <v>1</v>
      </c>
      <c r="V23" s="18">
        <f t="shared" si="11"/>
        <v>0</v>
      </c>
      <c r="W23" s="18">
        <f>IFERROR(F23*INDEX('Unit Conversions Array'!$E$4:$Y$23, MATCH('Scenarios &amp; Measures'!E23, 'Unit Conversions Array'!$B$4:$B$23, 0), MATCH('Scenarios &amp; Measures'!G23, 'Unit Conversions Array'!$E$3:$Y$3, 0)), 0)</f>
        <v>0</v>
      </c>
      <c r="X23" s="19">
        <f t="shared" si="12"/>
        <v>0</v>
      </c>
      <c r="Y23" s="19">
        <f t="shared" si="13"/>
        <v>0</v>
      </c>
      <c r="Z23" s="19">
        <f t="shared" si="14"/>
        <v>0</v>
      </c>
      <c r="AA23" s="17">
        <f t="shared" si="25"/>
        <v>0</v>
      </c>
      <c r="AB23" s="17">
        <f t="shared" si="15"/>
        <v>20</v>
      </c>
      <c r="AC23" s="17">
        <f t="shared" si="16"/>
        <v>-20</v>
      </c>
      <c r="AD23" s="17">
        <f t="shared" si="17"/>
        <v>0</v>
      </c>
      <c r="AE23" s="18">
        <f t="shared" si="18"/>
        <v>0</v>
      </c>
      <c r="AF23" s="19">
        <f t="shared" si="6"/>
        <v>0</v>
      </c>
      <c r="AG23" s="12">
        <f t="shared" si="7"/>
        <v>0</v>
      </c>
      <c r="AH23" s="17">
        <f t="shared" si="19"/>
        <v>0</v>
      </c>
      <c r="AI23" s="23">
        <f>IF($V$10="RECs", -Y23/VLOOKUP("RECs", 'General Project Info'!$R$30:$W$40, 5, FALSE)*$V$11*IF($X$11=$Z$12, $X$10, (1/($Z$12-$X$11))*(1-($X$11/$Z$12)^$X$10)*$Z$12), 0)</f>
        <v>0</v>
      </c>
      <c r="AJ23" s="17">
        <f t="shared" si="20"/>
        <v>0</v>
      </c>
      <c r="AK23" s="17">
        <f t="shared" si="21"/>
        <v>0</v>
      </c>
      <c r="AL23" s="17">
        <f t="shared" si="22"/>
        <v>0</v>
      </c>
      <c r="AN23" s="12">
        <f t="shared" si="23"/>
        <v>0</v>
      </c>
      <c r="AO23" s="12">
        <f t="shared" si="27"/>
        <v>0</v>
      </c>
      <c r="AP23" s="12">
        <f t="shared" si="27"/>
        <v>0</v>
      </c>
      <c r="AQ23" s="12">
        <f t="shared" si="27"/>
        <v>0</v>
      </c>
      <c r="AR23" s="12">
        <f t="shared" si="27"/>
        <v>0</v>
      </c>
      <c r="AS23" s="12">
        <f t="shared" si="27"/>
        <v>0</v>
      </c>
      <c r="AT23" s="12">
        <f t="shared" si="27"/>
        <v>0</v>
      </c>
      <c r="AU23" s="12">
        <f t="shared" si="27"/>
        <v>0</v>
      </c>
      <c r="AV23" s="12">
        <f t="shared" si="27"/>
        <v>0</v>
      </c>
      <c r="AW23" s="12">
        <f t="shared" si="27"/>
        <v>0</v>
      </c>
      <c r="AX23" s="12">
        <f t="shared" si="27"/>
        <v>0</v>
      </c>
      <c r="AY23" s="12">
        <f t="shared" si="27"/>
        <v>0</v>
      </c>
      <c r="AZ23" s="12">
        <f t="shared" si="27"/>
        <v>0</v>
      </c>
      <c r="BA23" s="12">
        <f t="shared" si="27"/>
        <v>0</v>
      </c>
      <c r="BB23" s="12">
        <f t="shared" si="27"/>
        <v>0</v>
      </c>
      <c r="BC23" s="12">
        <f t="shared" si="27"/>
        <v>0</v>
      </c>
      <c r="BD23" s="12">
        <f t="shared" si="27"/>
        <v>0</v>
      </c>
      <c r="BE23" s="12">
        <f t="shared" si="27"/>
        <v>0</v>
      </c>
      <c r="BF23" s="12">
        <f t="shared" si="27"/>
        <v>0</v>
      </c>
      <c r="BG23" s="12">
        <f t="shared" si="27"/>
        <v>0</v>
      </c>
      <c r="BH23" s="12">
        <f t="shared" si="27"/>
        <v>0</v>
      </c>
      <c r="BI23" s="12">
        <f t="shared" si="27"/>
        <v>0</v>
      </c>
      <c r="BJ23" s="12">
        <f t="shared" si="27"/>
        <v>0</v>
      </c>
      <c r="BK23" s="12">
        <f t="shared" si="27"/>
        <v>0</v>
      </c>
      <c r="BL23" s="12">
        <f t="shared" si="27"/>
        <v>0</v>
      </c>
      <c r="BM23" s="12">
        <f t="shared" si="27"/>
        <v>0</v>
      </c>
      <c r="BN23" s="12">
        <f t="shared" si="27"/>
        <v>0</v>
      </c>
      <c r="BO23" s="12">
        <f t="shared" si="27"/>
        <v>0</v>
      </c>
      <c r="BP23" s="12">
        <f t="shared" si="27"/>
        <v>0</v>
      </c>
      <c r="BQ23" s="12">
        <f t="shared" si="27"/>
        <v>0</v>
      </c>
      <c r="BR23" s="12">
        <f t="shared" si="27"/>
        <v>0</v>
      </c>
      <c r="BS23" s="12">
        <f t="shared" si="27"/>
        <v>0</v>
      </c>
      <c r="BT23" s="12">
        <f t="shared" si="27"/>
        <v>0</v>
      </c>
      <c r="BU23" s="12">
        <f t="shared" si="27"/>
        <v>0</v>
      </c>
      <c r="BV23" s="12">
        <f t="shared" si="27"/>
        <v>0</v>
      </c>
      <c r="BW23" s="12">
        <f t="shared" si="27"/>
        <v>0</v>
      </c>
      <c r="BX23" s="12">
        <f t="shared" si="27"/>
        <v>0</v>
      </c>
      <c r="BY23" s="12">
        <f t="shared" si="27"/>
        <v>0</v>
      </c>
      <c r="BZ23" s="12">
        <f t="shared" si="27"/>
        <v>0</v>
      </c>
      <c r="CA23" s="12">
        <f t="shared" si="27"/>
        <v>0</v>
      </c>
      <c r="CB23" s="12">
        <f t="shared" si="27"/>
        <v>0</v>
      </c>
      <c r="CC23" s="12">
        <f t="shared" si="27"/>
        <v>0</v>
      </c>
      <c r="CD23" s="12">
        <f t="shared" si="27"/>
        <v>0</v>
      </c>
      <c r="CE23" s="12">
        <f t="shared" si="27"/>
        <v>0</v>
      </c>
      <c r="CF23" s="12">
        <f t="shared" si="27"/>
        <v>0</v>
      </c>
      <c r="CG23" s="12">
        <f t="shared" si="27"/>
        <v>0</v>
      </c>
      <c r="CH23" s="12">
        <f t="shared" si="27"/>
        <v>0</v>
      </c>
      <c r="CI23" s="12">
        <f t="shared" si="27"/>
        <v>0</v>
      </c>
      <c r="CJ23" s="12">
        <f t="shared" si="27"/>
        <v>0</v>
      </c>
      <c r="CK23" s="12">
        <f t="shared" si="27"/>
        <v>0</v>
      </c>
      <c r="CL23" s="12">
        <f t="shared" si="27"/>
        <v>0</v>
      </c>
      <c r="CM23" s="12">
        <f t="shared" si="27"/>
        <v>0</v>
      </c>
      <c r="CN23" s="12">
        <f t="shared" si="27"/>
        <v>0</v>
      </c>
      <c r="CO23" s="12">
        <f t="shared" si="27"/>
        <v>0</v>
      </c>
      <c r="CP23" s="12">
        <f t="shared" si="27"/>
        <v>0</v>
      </c>
      <c r="CQ23" s="12">
        <f t="shared" si="27"/>
        <v>0</v>
      </c>
      <c r="CR23" s="12">
        <f t="shared" si="27"/>
        <v>0</v>
      </c>
      <c r="CS23" s="12">
        <f t="shared" si="27"/>
        <v>0</v>
      </c>
      <c r="CT23" s="12">
        <f t="shared" si="27"/>
        <v>0</v>
      </c>
      <c r="CU23" s="12">
        <f t="shared" si="27"/>
        <v>0</v>
      </c>
      <c r="CV23" s="12">
        <f t="shared" si="27"/>
        <v>0</v>
      </c>
      <c r="CW23" s="12">
        <f t="shared" si="27"/>
        <v>0</v>
      </c>
      <c r="CX23" s="12">
        <f t="shared" si="27"/>
        <v>0</v>
      </c>
      <c r="CY23" s="12">
        <f t="shared" si="27"/>
        <v>0</v>
      </c>
      <c r="CZ23" s="12">
        <f t="shared" ref="CZ23:EJ26" si="28">IFERROR(IF(CZ$13&gt;=$X$10, 0, IF(MOD($AD23+CZ$13, $K23)=0, (($M23-$N23)*$Z$11^CZ$13), 0)), 0)</f>
        <v>0</v>
      </c>
      <c r="DA23" s="12">
        <f t="shared" si="28"/>
        <v>0</v>
      </c>
      <c r="DB23" s="12">
        <f t="shared" si="28"/>
        <v>0</v>
      </c>
      <c r="DC23" s="12">
        <f t="shared" si="28"/>
        <v>0</v>
      </c>
      <c r="DD23" s="12">
        <f t="shared" si="28"/>
        <v>0</v>
      </c>
      <c r="DE23" s="12">
        <f t="shared" si="28"/>
        <v>0</v>
      </c>
      <c r="DF23" s="12">
        <f t="shared" si="28"/>
        <v>0</v>
      </c>
      <c r="DG23" s="12">
        <f t="shared" si="28"/>
        <v>0</v>
      </c>
      <c r="DH23" s="12">
        <f t="shared" si="28"/>
        <v>0</v>
      </c>
      <c r="DI23" s="12">
        <f t="shared" si="28"/>
        <v>0</v>
      </c>
      <c r="DJ23" s="12">
        <f t="shared" si="28"/>
        <v>0</v>
      </c>
      <c r="DK23" s="12">
        <f t="shared" si="28"/>
        <v>0</v>
      </c>
      <c r="DL23" s="12">
        <f t="shared" si="28"/>
        <v>0</v>
      </c>
      <c r="DM23" s="12">
        <f t="shared" si="28"/>
        <v>0</v>
      </c>
      <c r="DN23" s="12">
        <f t="shared" si="28"/>
        <v>0</v>
      </c>
      <c r="DO23" s="12">
        <f t="shared" si="28"/>
        <v>0</v>
      </c>
      <c r="DP23" s="12">
        <f t="shared" si="28"/>
        <v>0</v>
      </c>
      <c r="DQ23" s="12">
        <f t="shared" si="28"/>
        <v>0</v>
      </c>
      <c r="DR23" s="12">
        <f t="shared" si="28"/>
        <v>0</v>
      </c>
      <c r="DS23" s="12">
        <f t="shared" si="28"/>
        <v>0</v>
      </c>
      <c r="DT23" s="12">
        <f t="shared" si="28"/>
        <v>0</v>
      </c>
      <c r="DU23" s="12">
        <f t="shared" si="28"/>
        <v>0</v>
      </c>
      <c r="DV23" s="12">
        <f t="shared" si="28"/>
        <v>0</v>
      </c>
      <c r="DW23" s="12">
        <f t="shared" si="28"/>
        <v>0</v>
      </c>
      <c r="DX23" s="12">
        <f t="shared" si="28"/>
        <v>0</v>
      </c>
      <c r="DY23" s="12">
        <f t="shared" si="28"/>
        <v>0</v>
      </c>
      <c r="DZ23" s="12">
        <f t="shared" si="28"/>
        <v>0</v>
      </c>
      <c r="EA23" s="12">
        <f t="shared" si="28"/>
        <v>0</v>
      </c>
      <c r="EB23" s="12">
        <f t="shared" si="28"/>
        <v>0</v>
      </c>
      <c r="EC23" s="12">
        <f t="shared" si="28"/>
        <v>0</v>
      </c>
      <c r="ED23" s="12">
        <f t="shared" si="28"/>
        <v>0</v>
      </c>
      <c r="EE23" s="12">
        <f t="shared" si="28"/>
        <v>0</v>
      </c>
      <c r="EF23" s="12">
        <f t="shared" si="28"/>
        <v>0</v>
      </c>
      <c r="EG23" s="12">
        <f t="shared" si="28"/>
        <v>0</v>
      </c>
      <c r="EH23" s="12">
        <f t="shared" si="28"/>
        <v>0</v>
      </c>
      <c r="EI23" s="12">
        <f t="shared" si="28"/>
        <v>0</v>
      </c>
      <c r="EJ23" s="12">
        <f t="shared" si="28"/>
        <v>0</v>
      </c>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row>
    <row r="24" spans="1:348" x14ac:dyDescent="0.35">
      <c r="A24" s="132"/>
      <c r="B24" s="27"/>
      <c r="C24" s="170"/>
      <c r="D24" s="170"/>
      <c r="E24" s="103"/>
      <c r="F24" s="105"/>
      <c r="G24" s="36" t="str">
        <f>IFERROR(VLOOKUP(E24, 'General Project Info'!$C$30:$I$40, 7, FALSE), "")</f>
        <v/>
      </c>
      <c r="H24" s="41">
        <f>IFERROR(X24*VLOOKUP(E24, 'General Project Info'!$R$30:$T$40, 3, FALSE), 0)</f>
        <v>0</v>
      </c>
      <c r="I24" s="42">
        <f>IFERROR(IF($T24="Yes", $X24*VLOOKUP($E24, 'General Project Info'!$R$30:$W$40, 5, FALSE), 0), 0)</f>
        <v>0</v>
      </c>
      <c r="J24" s="42">
        <f>IFERROR(IF($T24="No", $X24*VLOOKUP($E24, 'General Project Info'!$R$30:$W$40, 5, FALSE), 0), 0)</f>
        <v>0</v>
      </c>
      <c r="K24" s="108"/>
      <c r="L24" s="108"/>
      <c r="M24" s="109"/>
      <c r="N24" s="109"/>
      <c r="O24" s="109"/>
      <c r="P24" s="43">
        <f t="shared" si="10"/>
        <v>0</v>
      </c>
      <c r="Q24" s="27"/>
      <c r="R24" s="132"/>
      <c r="T24" s="18" t="e">
        <f>VLOOKUP($E24, 'Unit Conversions Array'!$B$4:$Z$23, 25, FALSE)</f>
        <v>#N/A</v>
      </c>
      <c r="U24">
        <f>VLOOKUP(E24, 'General Project Info'!$R$30:$W$40, 6, FALSE)</f>
        <v>1</v>
      </c>
      <c r="V24" s="18">
        <f t="shared" si="11"/>
        <v>0</v>
      </c>
      <c r="W24" s="18">
        <f>IFERROR(F24*INDEX('Unit Conversions Array'!$E$4:$Y$23, MATCH('Scenarios &amp; Measures'!E24, 'Unit Conversions Array'!$B$4:$B$23, 0), MATCH('Scenarios &amp; Measures'!G24, 'Unit Conversions Array'!$E$3:$Y$3, 0)), 0)</f>
        <v>0</v>
      </c>
      <c r="X24" s="19">
        <f t="shared" si="12"/>
        <v>0</v>
      </c>
      <c r="Y24" s="19">
        <f t="shared" si="13"/>
        <v>0</v>
      </c>
      <c r="Z24" s="19">
        <f t="shared" si="14"/>
        <v>0</v>
      </c>
      <c r="AA24" s="17">
        <f t="shared" si="25"/>
        <v>0</v>
      </c>
      <c r="AB24" s="17">
        <f t="shared" si="15"/>
        <v>20</v>
      </c>
      <c r="AC24" s="17">
        <f t="shared" si="16"/>
        <v>-20</v>
      </c>
      <c r="AD24" s="17">
        <f t="shared" si="17"/>
        <v>0</v>
      </c>
      <c r="AE24" s="18">
        <f t="shared" si="18"/>
        <v>0</v>
      </c>
      <c r="AF24" s="19">
        <f t="shared" si="6"/>
        <v>0</v>
      </c>
      <c r="AG24" s="12">
        <f t="shared" si="7"/>
        <v>0</v>
      </c>
      <c r="AH24" s="17">
        <f t="shared" si="19"/>
        <v>0</v>
      </c>
      <c r="AI24" s="23">
        <f>IF($V$10="RECs", -Y24/VLOOKUP("RECs", 'General Project Info'!$R$30:$W$40, 5, FALSE)*$V$11*IF($X$11=$Z$12, $X$10, (1/($Z$12-$X$11))*(1-($X$11/$Z$12)^$X$10)*$Z$12), 0)</f>
        <v>0</v>
      </c>
      <c r="AJ24" s="17">
        <f t="shared" si="20"/>
        <v>0</v>
      </c>
      <c r="AK24" s="17">
        <f t="shared" si="21"/>
        <v>0</v>
      </c>
      <c r="AL24" s="17">
        <f t="shared" si="22"/>
        <v>0</v>
      </c>
      <c r="AN24" s="12">
        <f t="shared" si="23"/>
        <v>0</v>
      </c>
      <c r="AO24" s="12">
        <f t="shared" ref="AO24:CZ27" si="29">IFERROR(IF(AO$13&gt;=$X$10, 0, IF(MOD($AD24+AO$13, $K24)=0, (($M24-$N24)*$Z$11^AO$13), 0)), 0)</f>
        <v>0</v>
      </c>
      <c r="AP24" s="12">
        <f t="shared" si="29"/>
        <v>0</v>
      </c>
      <c r="AQ24" s="12">
        <f t="shared" si="29"/>
        <v>0</v>
      </c>
      <c r="AR24" s="12">
        <f t="shared" si="29"/>
        <v>0</v>
      </c>
      <c r="AS24" s="12">
        <f t="shared" si="29"/>
        <v>0</v>
      </c>
      <c r="AT24" s="12">
        <f t="shared" si="29"/>
        <v>0</v>
      </c>
      <c r="AU24" s="12">
        <f t="shared" si="29"/>
        <v>0</v>
      </c>
      <c r="AV24" s="12">
        <f t="shared" si="29"/>
        <v>0</v>
      </c>
      <c r="AW24" s="12">
        <f t="shared" si="29"/>
        <v>0</v>
      </c>
      <c r="AX24" s="12">
        <f t="shared" si="29"/>
        <v>0</v>
      </c>
      <c r="AY24" s="12">
        <f t="shared" si="29"/>
        <v>0</v>
      </c>
      <c r="AZ24" s="12">
        <f t="shared" si="29"/>
        <v>0</v>
      </c>
      <c r="BA24" s="12">
        <f t="shared" si="29"/>
        <v>0</v>
      </c>
      <c r="BB24" s="12">
        <f t="shared" si="29"/>
        <v>0</v>
      </c>
      <c r="BC24" s="12">
        <f t="shared" si="29"/>
        <v>0</v>
      </c>
      <c r="BD24" s="12">
        <f t="shared" si="29"/>
        <v>0</v>
      </c>
      <c r="BE24" s="12">
        <f t="shared" si="29"/>
        <v>0</v>
      </c>
      <c r="BF24" s="12">
        <f t="shared" si="29"/>
        <v>0</v>
      </c>
      <c r="BG24" s="12">
        <f t="shared" si="29"/>
        <v>0</v>
      </c>
      <c r="BH24" s="12">
        <f t="shared" si="29"/>
        <v>0</v>
      </c>
      <c r="BI24" s="12">
        <f t="shared" si="29"/>
        <v>0</v>
      </c>
      <c r="BJ24" s="12">
        <f t="shared" si="29"/>
        <v>0</v>
      </c>
      <c r="BK24" s="12">
        <f t="shared" si="29"/>
        <v>0</v>
      </c>
      <c r="BL24" s="12">
        <f t="shared" si="29"/>
        <v>0</v>
      </c>
      <c r="BM24" s="12">
        <f t="shared" si="29"/>
        <v>0</v>
      </c>
      <c r="BN24" s="12">
        <f t="shared" si="29"/>
        <v>0</v>
      </c>
      <c r="BO24" s="12">
        <f t="shared" si="29"/>
        <v>0</v>
      </c>
      <c r="BP24" s="12">
        <f t="shared" si="29"/>
        <v>0</v>
      </c>
      <c r="BQ24" s="12">
        <f t="shared" si="29"/>
        <v>0</v>
      </c>
      <c r="BR24" s="12">
        <f t="shared" si="29"/>
        <v>0</v>
      </c>
      <c r="BS24" s="12">
        <f t="shared" si="29"/>
        <v>0</v>
      </c>
      <c r="BT24" s="12">
        <f t="shared" si="29"/>
        <v>0</v>
      </c>
      <c r="BU24" s="12">
        <f t="shared" si="29"/>
        <v>0</v>
      </c>
      <c r="BV24" s="12">
        <f t="shared" si="29"/>
        <v>0</v>
      </c>
      <c r="BW24" s="12">
        <f t="shared" si="29"/>
        <v>0</v>
      </c>
      <c r="BX24" s="12">
        <f t="shared" si="29"/>
        <v>0</v>
      </c>
      <c r="BY24" s="12">
        <f t="shared" si="29"/>
        <v>0</v>
      </c>
      <c r="BZ24" s="12">
        <f t="shared" si="29"/>
        <v>0</v>
      </c>
      <c r="CA24" s="12">
        <f t="shared" si="29"/>
        <v>0</v>
      </c>
      <c r="CB24" s="12">
        <f t="shared" si="29"/>
        <v>0</v>
      </c>
      <c r="CC24" s="12">
        <f t="shared" si="29"/>
        <v>0</v>
      </c>
      <c r="CD24" s="12">
        <f t="shared" si="29"/>
        <v>0</v>
      </c>
      <c r="CE24" s="12">
        <f t="shared" si="29"/>
        <v>0</v>
      </c>
      <c r="CF24" s="12">
        <f t="shared" si="29"/>
        <v>0</v>
      </c>
      <c r="CG24" s="12">
        <f t="shared" si="29"/>
        <v>0</v>
      </c>
      <c r="CH24" s="12">
        <f t="shared" si="29"/>
        <v>0</v>
      </c>
      <c r="CI24" s="12">
        <f t="shared" si="29"/>
        <v>0</v>
      </c>
      <c r="CJ24" s="12">
        <f t="shared" si="29"/>
        <v>0</v>
      </c>
      <c r="CK24" s="12">
        <f t="shared" si="29"/>
        <v>0</v>
      </c>
      <c r="CL24" s="12">
        <f t="shared" si="29"/>
        <v>0</v>
      </c>
      <c r="CM24" s="12">
        <f t="shared" si="29"/>
        <v>0</v>
      </c>
      <c r="CN24" s="12">
        <f t="shared" si="29"/>
        <v>0</v>
      </c>
      <c r="CO24" s="12">
        <f t="shared" si="29"/>
        <v>0</v>
      </c>
      <c r="CP24" s="12">
        <f t="shared" si="29"/>
        <v>0</v>
      </c>
      <c r="CQ24" s="12">
        <f t="shared" si="29"/>
        <v>0</v>
      </c>
      <c r="CR24" s="12">
        <f t="shared" si="29"/>
        <v>0</v>
      </c>
      <c r="CS24" s="12">
        <f t="shared" si="29"/>
        <v>0</v>
      </c>
      <c r="CT24" s="12">
        <f t="shared" si="29"/>
        <v>0</v>
      </c>
      <c r="CU24" s="12">
        <f t="shared" si="29"/>
        <v>0</v>
      </c>
      <c r="CV24" s="12">
        <f t="shared" si="29"/>
        <v>0</v>
      </c>
      <c r="CW24" s="12">
        <f t="shared" si="29"/>
        <v>0</v>
      </c>
      <c r="CX24" s="12">
        <f t="shared" si="29"/>
        <v>0</v>
      </c>
      <c r="CY24" s="12">
        <f t="shared" si="29"/>
        <v>0</v>
      </c>
      <c r="CZ24" s="12">
        <f t="shared" si="29"/>
        <v>0</v>
      </c>
      <c r="DA24" s="12">
        <f t="shared" si="28"/>
        <v>0</v>
      </c>
      <c r="DB24" s="12">
        <f t="shared" si="28"/>
        <v>0</v>
      </c>
      <c r="DC24" s="12">
        <f t="shared" si="28"/>
        <v>0</v>
      </c>
      <c r="DD24" s="12">
        <f t="shared" si="28"/>
        <v>0</v>
      </c>
      <c r="DE24" s="12">
        <f t="shared" si="28"/>
        <v>0</v>
      </c>
      <c r="DF24" s="12">
        <f t="shared" si="28"/>
        <v>0</v>
      </c>
      <c r="DG24" s="12">
        <f t="shared" si="28"/>
        <v>0</v>
      </c>
      <c r="DH24" s="12">
        <f t="shared" si="28"/>
        <v>0</v>
      </c>
      <c r="DI24" s="12">
        <f t="shared" si="28"/>
        <v>0</v>
      </c>
      <c r="DJ24" s="12">
        <f t="shared" si="28"/>
        <v>0</v>
      </c>
      <c r="DK24" s="12">
        <f t="shared" si="28"/>
        <v>0</v>
      </c>
      <c r="DL24" s="12">
        <f t="shared" si="28"/>
        <v>0</v>
      </c>
      <c r="DM24" s="12">
        <f t="shared" si="28"/>
        <v>0</v>
      </c>
      <c r="DN24" s="12">
        <f t="shared" si="28"/>
        <v>0</v>
      </c>
      <c r="DO24" s="12">
        <f t="shared" si="28"/>
        <v>0</v>
      </c>
      <c r="DP24" s="12">
        <f t="shared" si="28"/>
        <v>0</v>
      </c>
      <c r="DQ24" s="12">
        <f t="shared" si="28"/>
        <v>0</v>
      </c>
      <c r="DR24" s="12">
        <f t="shared" si="28"/>
        <v>0</v>
      </c>
      <c r="DS24" s="12">
        <f t="shared" si="28"/>
        <v>0</v>
      </c>
      <c r="DT24" s="12">
        <f t="shared" si="28"/>
        <v>0</v>
      </c>
      <c r="DU24" s="12">
        <f t="shared" si="28"/>
        <v>0</v>
      </c>
      <c r="DV24" s="12">
        <f t="shared" si="28"/>
        <v>0</v>
      </c>
      <c r="DW24" s="12">
        <f t="shared" si="28"/>
        <v>0</v>
      </c>
      <c r="DX24" s="12">
        <f t="shared" si="28"/>
        <v>0</v>
      </c>
      <c r="DY24" s="12">
        <f t="shared" si="28"/>
        <v>0</v>
      </c>
      <c r="DZ24" s="12">
        <f t="shared" si="28"/>
        <v>0</v>
      </c>
      <c r="EA24" s="12">
        <f t="shared" si="28"/>
        <v>0</v>
      </c>
      <c r="EB24" s="12">
        <f t="shared" si="28"/>
        <v>0</v>
      </c>
      <c r="EC24" s="12">
        <f t="shared" si="28"/>
        <v>0</v>
      </c>
      <c r="ED24" s="12">
        <f t="shared" si="28"/>
        <v>0</v>
      </c>
      <c r="EE24" s="12">
        <f t="shared" si="28"/>
        <v>0</v>
      </c>
      <c r="EF24" s="12">
        <f t="shared" si="28"/>
        <v>0</v>
      </c>
      <c r="EG24" s="12">
        <f t="shared" si="28"/>
        <v>0</v>
      </c>
      <c r="EH24" s="12">
        <f t="shared" si="28"/>
        <v>0</v>
      </c>
      <c r="EI24" s="12">
        <f t="shared" si="28"/>
        <v>0</v>
      </c>
      <c r="EJ24" s="12">
        <f t="shared" si="28"/>
        <v>0</v>
      </c>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row>
    <row r="25" spans="1:348" x14ac:dyDescent="0.35">
      <c r="A25" s="132"/>
      <c r="B25" s="27"/>
      <c r="C25" s="170"/>
      <c r="D25" s="170"/>
      <c r="E25" s="103"/>
      <c r="F25" s="105"/>
      <c r="G25" s="36" t="str">
        <f>IFERROR(VLOOKUP(E25, 'General Project Info'!$C$30:$I$40, 7, FALSE), "")</f>
        <v/>
      </c>
      <c r="H25" s="41">
        <f>IFERROR(X25*VLOOKUP(E25, 'General Project Info'!$R$30:$T$40, 3, FALSE), 0)</f>
        <v>0</v>
      </c>
      <c r="I25" s="42">
        <f>IFERROR(IF($T25="Yes", $X25*VLOOKUP($E25, 'General Project Info'!$R$30:$W$40, 5, FALSE), 0), 0)</f>
        <v>0</v>
      </c>
      <c r="J25" s="42">
        <f>IFERROR(IF($T25="No", $X25*VLOOKUP($E25, 'General Project Info'!$R$30:$W$40, 5, FALSE), 0), 0)</f>
        <v>0</v>
      </c>
      <c r="K25" s="108"/>
      <c r="L25" s="108"/>
      <c r="M25" s="109"/>
      <c r="N25" s="109"/>
      <c r="O25" s="109"/>
      <c r="P25" s="43">
        <f t="shared" si="10"/>
        <v>0</v>
      </c>
      <c r="Q25" s="27"/>
      <c r="R25" s="132"/>
      <c r="T25" s="18" t="e">
        <f>VLOOKUP($E25, 'Unit Conversions Array'!$B$4:$Z$23, 25, FALSE)</f>
        <v>#N/A</v>
      </c>
      <c r="U25">
        <f>VLOOKUP(E25, 'General Project Info'!$R$30:$W$40, 6, FALSE)</f>
        <v>1</v>
      </c>
      <c r="V25" s="18">
        <f t="shared" si="11"/>
        <v>0</v>
      </c>
      <c r="W25" s="18">
        <f>IFERROR(F25*INDEX('Unit Conversions Array'!$E$4:$Y$23, MATCH('Scenarios &amp; Measures'!E25, 'Unit Conversions Array'!$B$4:$B$23, 0), MATCH('Scenarios &amp; Measures'!G25, 'Unit Conversions Array'!$E$3:$Y$3, 0)), 0)</f>
        <v>0</v>
      </c>
      <c r="X25" s="19">
        <f t="shared" si="12"/>
        <v>0</v>
      </c>
      <c r="Y25" s="19">
        <f t="shared" si="13"/>
        <v>0</v>
      </c>
      <c r="Z25" s="19">
        <f t="shared" si="14"/>
        <v>0</v>
      </c>
      <c r="AA25" s="17">
        <f t="shared" si="25"/>
        <v>0</v>
      </c>
      <c r="AB25" s="17">
        <f t="shared" si="15"/>
        <v>20</v>
      </c>
      <c r="AC25" s="17">
        <f t="shared" si="16"/>
        <v>-20</v>
      </c>
      <c r="AD25" s="17">
        <f t="shared" si="17"/>
        <v>0</v>
      </c>
      <c r="AE25" s="18">
        <f t="shared" si="18"/>
        <v>0</v>
      </c>
      <c r="AF25" s="19">
        <f t="shared" si="6"/>
        <v>0</v>
      </c>
      <c r="AG25" s="12">
        <f t="shared" si="7"/>
        <v>0</v>
      </c>
      <c r="AH25" s="17">
        <f t="shared" si="19"/>
        <v>0</v>
      </c>
      <c r="AI25" s="23">
        <f>IF($V$10="RECs", -Y25/VLOOKUP("RECs", 'General Project Info'!$R$30:$W$40, 5, FALSE)*$V$11*IF($X$11=$Z$12, $X$10, (1/($Z$12-$X$11))*(1-($X$11/$Z$12)^$X$10)*$Z$12), 0)</f>
        <v>0</v>
      </c>
      <c r="AJ25" s="17">
        <f t="shared" si="20"/>
        <v>0</v>
      </c>
      <c r="AK25" s="17">
        <f t="shared" si="21"/>
        <v>0</v>
      </c>
      <c r="AL25" s="17">
        <f t="shared" si="22"/>
        <v>0</v>
      </c>
      <c r="AN25" s="12">
        <f t="shared" si="23"/>
        <v>0</v>
      </c>
      <c r="AO25" s="12">
        <f t="shared" si="29"/>
        <v>0</v>
      </c>
      <c r="AP25" s="12">
        <f t="shared" si="29"/>
        <v>0</v>
      </c>
      <c r="AQ25" s="12">
        <f t="shared" si="29"/>
        <v>0</v>
      </c>
      <c r="AR25" s="12">
        <f t="shared" si="29"/>
        <v>0</v>
      </c>
      <c r="AS25" s="12">
        <f t="shared" si="29"/>
        <v>0</v>
      </c>
      <c r="AT25" s="12">
        <f t="shared" si="29"/>
        <v>0</v>
      </c>
      <c r="AU25" s="12">
        <f t="shared" si="29"/>
        <v>0</v>
      </c>
      <c r="AV25" s="12">
        <f t="shared" si="29"/>
        <v>0</v>
      </c>
      <c r="AW25" s="12">
        <f t="shared" si="29"/>
        <v>0</v>
      </c>
      <c r="AX25" s="12">
        <f t="shared" si="29"/>
        <v>0</v>
      </c>
      <c r="AY25" s="12">
        <f t="shared" si="29"/>
        <v>0</v>
      </c>
      <c r="AZ25" s="12">
        <f t="shared" si="29"/>
        <v>0</v>
      </c>
      <c r="BA25" s="12">
        <f t="shared" si="29"/>
        <v>0</v>
      </c>
      <c r="BB25" s="12">
        <f t="shared" si="29"/>
        <v>0</v>
      </c>
      <c r="BC25" s="12">
        <f t="shared" si="29"/>
        <v>0</v>
      </c>
      <c r="BD25" s="12">
        <f t="shared" si="29"/>
        <v>0</v>
      </c>
      <c r="BE25" s="12">
        <f t="shared" si="29"/>
        <v>0</v>
      </c>
      <c r="BF25" s="12">
        <f t="shared" si="29"/>
        <v>0</v>
      </c>
      <c r="BG25" s="12">
        <f t="shared" si="29"/>
        <v>0</v>
      </c>
      <c r="BH25" s="12">
        <f t="shared" si="29"/>
        <v>0</v>
      </c>
      <c r="BI25" s="12">
        <f t="shared" si="29"/>
        <v>0</v>
      </c>
      <c r="BJ25" s="12">
        <f t="shared" si="29"/>
        <v>0</v>
      </c>
      <c r="BK25" s="12">
        <f t="shared" si="29"/>
        <v>0</v>
      </c>
      <c r="BL25" s="12">
        <f t="shared" si="29"/>
        <v>0</v>
      </c>
      <c r="BM25" s="12">
        <f t="shared" si="29"/>
        <v>0</v>
      </c>
      <c r="BN25" s="12">
        <f t="shared" si="29"/>
        <v>0</v>
      </c>
      <c r="BO25" s="12">
        <f t="shared" si="29"/>
        <v>0</v>
      </c>
      <c r="BP25" s="12">
        <f t="shared" si="29"/>
        <v>0</v>
      </c>
      <c r="BQ25" s="12">
        <f t="shared" si="29"/>
        <v>0</v>
      </c>
      <c r="BR25" s="12">
        <f t="shared" si="29"/>
        <v>0</v>
      </c>
      <c r="BS25" s="12">
        <f t="shared" si="29"/>
        <v>0</v>
      </c>
      <c r="BT25" s="12">
        <f t="shared" si="29"/>
        <v>0</v>
      </c>
      <c r="BU25" s="12">
        <f t="shared" si="29"/>
        <v>0</v>
      </c>
      <c r="BV25" s="12">
        <f t="shared" si="29"/>
        <v>0</v>
      </c>
      <c r="BW25" s="12">
        <f t="shared" si="29"/>
        <v>0</v>
      </c>
      <c r="BX25" s="12">
        <f t="shared" si="29"/>
        <v>0</v>
      </c>
      <c r="BY25" s="12">
        <f t="shared" si="29"/>
        <v>0</v>
      </c>
      <c r="BZ25" s="12">
        <f t="shared" si="29"/>
        <v>0</v>
      </c>
      <c r="CA25" s="12">
        <f t="shared" si="29"/>
        <v>0</v>
      </c>
      <c r="CB25" s="12">
        <f t="shared" si="29"/>
        <v>0</v>
      </c>
      <c r="CC25" s="12">
        <f t="shared" si="29"/>
        <v>0</v>
      </c>
      <c r="CD25" s="12">
        <f t="shared" si="29"/>
        <v>0</v>
      </c>
      <c r="CE25" s="12">
        <f t="shared" si="29"/>
        <v>0</v>
      </c>
      <c r="CF25" s="12">
        <f t="shared" si="29"/>
        <v>0</v>
      </c>
      <c r="CG25" s="12">
        <f t="shared" si="29"/>
        <v>0</v>
      </c>
      <c r="CH25" s="12">
        <f t="shared" si="29"/>
        <v>0</v>
      </c>
      <c r="CI25" s="12">
        <f t="shared" si="29"/>
        <v>0</v>
      </c>
      <c r="CJ25" s="12">
        <f t="shared" si="29"/>
        <v>0</v>
      </c>
      <c r="CK25" s="12">
        <f t="shared" si="29"/>
        <v>0</v>
      </c>
      <c r="CL25" s="12">
        <f t="shared" si="29"/>
        <v>0</v>
      </c>
      <c r="CM25" s="12">
        <f t="shared" si="29"/>
        <v>0</v>
      </c>
      <c r="CN25" s="12">
        <f t="shared" si="29"/>
        <v>0</v>
      </c>
      <c r="CO25" s="12">
        <f t="shared" si="29"/>
        <v>0</v>
      </c>
      <c r="CP25" s="12">
        <f t="shared" si="29"/>
        <v>0</v>
      </c>
      <c r="CQ25" s="12">
        <f t="shared" si="29"/>
        <v>0</v>
      </c>
      <c r="CR25" s="12">
        <f t="shared" si="29"/>
        <v>0</v>
      </c>
      <c r="CS25" s="12">
        <f t="shared" si="29"/>
        <v>0</v>
      </c>
      <c r="CT25" s="12">
        <f t="shared" si="29"/>
        <v>0</v>
      </c>
      <c r="CU25" s="12">
        <f t="shared" si="29"/>
        <v>0</v>
      </c>
      <c r="CV25" s="12">
        <f t="shared" si="29"/>
        <v>0</v>
      </c>
      <c r="CW25" s="12">
        <f t="shared" si="29"/>
        <v>0</v>
      </c>
      <c r="CX25" s="12">
        <f t="shared" si="29"/>
        <v>0</v>
      </c>
      <c r="CY25" s="12">
        <f t="shared" si="29"/>
        <v>0</v>
      </c>
      <c r="CZ25" s="12">
        <f t="shared" si="29"/>
        <v>0</v>
      </c>
      <c r="DA25" s="12">
        <f t="shared" si="28"/>
        <v>0</v>
      </c>
      <c r="DB25" s="12">
        <f t="shared" si="28"/>
        <v>0</v>
      </c>
      <c r="DC25" s="12">
        <f t="shared" si="28"/>
        <v>0</v>
      </c>
      <c r="DD25" s="12">
        <f t="shared" si="28"/>
        <v>0</v>
      </c>
      <c r="DE25" s="12">
        <f t="shared" si="28"/>
        <v>0</v>
      </c>
      <c r="DF25" s="12">
        <f t="shared" si="28"/>
        <v>0</v>
      </c>
      <c r="DG25" s="12">
        <f t="shared" si="28"/>
        <v>0</v>
      </c>
      <c r="DH25" s="12">
        <f t="shared" si="28"/>
        <v>0</v>
      </c>
      <c r="DI25" s="12">
        <f t="shared" si="28"/>
        <v>0</v>
      </c>
      <c r="DJ25" s="12">
        <f t="shared" si="28"/>
        <v>0</v>
      </c>
      <c r="DK25" s="12">
        <f t="shared" si="28"/>
        <v>0</v>
      </c>
      <c r="DL25" s="12">
        <f t="shared" si="28"/>
        <v>0</v>
      </c>
      <c r="DM25" s="12">
        <f t="shared" si="28"/>
        <v>0</v>
      </c>
      <c r="DN25" s="12">
        <f t="shared" si="28"/>
        <v>0</v>
      </c>
      <c r="DO25" s="12">
        <f t="shared" si="28"/>
        <v>0</v>
      </c>
      <c r="DP25" s="12">
        <f t="shared" si="28"/>
        <v>0</v>
      </c>
      <c r="DQ25" s="12">
        <f t="shared" si="28"/>
        <v>0</v>
      </c>
      <c r="DR25" s="12">
        <f t="shared" si="28"/>
        <v>0</v>
      </c>
      <c r="DS25" s="12">
        <f t="shared" si="28"/>
        <v>0</v>
      </c>
      <c r="DT25" s="12">
        <f t="shared" si="28"/>
        <v>0</v>
      </c>
      <c r="DU25" s="12">
        <f t="shared" si="28"/>
        <v>0</v>
      </c>
      <c r="DV25" s="12">
        <f t="shared" si="28"/>
        <v>0</v>
      </c>
      <c r="DW25" s="12">
        <f t="shared" si="28"/>
        <v>0</v>
      </c>
      <c r="DX25" s="12">
        <f t="shared" si="28"/>
        <v>0</v>
      </c>
      <c r="DY25" s="12">
        <f t="shared" si="28"/>
        <v>0</v>
      </c>
      <c r="DZ25" s="12">
        <f t="shared" si="28"/>
        <v>0</v>
      </c>
      <c r="EA25" s="12">
        <f t="shared" si="28"/>
        <v>0</v>
      </c>
      <c r="EB25" s="12">
        <f t="shared" si="28"/>
        <v>0</v>
      </c>
      <c r="EC25" s="12">
        <f t="shared" si="28"/>
        <v>0</v>
      </c>
      <c r="ED25" s="12">
        <f t="shared" si="28"/>
        <v>0</v>
      </c>
      <c r="EE25" s="12">
        <f t="shared" si="28"/>
        <v>0</v>
      </c>
      <c r="EF25" s="12">
        <f t="shared" si="28"/>
        <v>0</v>
      </c>
      <c r="EG25" s="12">
        <f t="shared" si="28"/>
        <v>0</v>
      </c>
      <c r="EH25" s="12">
        <f t="shared" si="28"/>
        <v>0</v>
      </c>
      <c r="EI25" s="12">
        <f t="shared" si="28"/>
        <v>0</v>
      </c>
      <c r="EJ25" s="12">
        <f t="shared" si="28"/>
        <v>0</v>
      </c>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row>
    <row r="26" spans="1:348" x14ac:dyDescent="0.35">
      <c r="A26" s="132"/>
      <c r="B26" s="27"/>
      <c r="C26" s="170"/>
      <c r="D26" s="170"/>
      <c r="E26" s="103"/>
      <c r="F26" s="105"/>
      <c r="G26" s="36" t="str">
        <f>IFERROR(VLOOKUP(E26, 'General Project Info'!$C$30:$I$40, 7, FALSE), "")</f>
        <v/>
      </c>
      <c r="H26" s="41">
        <f>IFERROR(X26*VLOOKUP(E26, 'General Project Info'!$R$30:$T$40, 3, FALSE), 0)</f>
        <v>0</v>
      </c>
      <c r="I26" s="42">
        <f>IFERROR(IF($T26="Yes", $X26*VLOOKUP($E26, 'General Project Info'!$R$30:$W$40, 5, FALSE), 0), 0)</f>
        <v>0</v>
      </c>
      <c r="J26" s="42">
        <f>IFERROR(IF($T26="No", $X26*VLOOKUP($E26, 'General Project Info'!$R$30:$W$40, 5, FALSE), 0), 0)</f>
        <v>0</v>
      </c>
      <c r="K26" s="108"/>
      <c r="L26" s="108"/>
      <c r="M26" s="109"/>
      <c r="N26" s="109"/>
      <c r="O26" s="109"/>
      <c r="P26" s="43">
        <f t="shared" si="10"/>
        <v>0</v>
      </c>
      <c r="Q26" s="27"/>
      <c r="R26" s="132"/>
      <c r="T26" s="18" t="e">
        <f>VLOOKUP($E26, 'Unit Conversions Array'!$B$4:$Z$23, 25, FALSE)</f>
        <v>#N/A</v>
      </c>
      <c r="U26">
        <f>VLOOKUP(E26, 'General Project Info'!$R$30:$W$40, 6, FALSE)</f>
        <v>1</v>
      </c>
      <c r="V26" s="18">
        <f t="shared" si="11"/>
        <v>0</v>
      </c>
      <c r="W26" s="18">
        <f>IFERROR(F26*INDEX('Unit Conversions Array'!$E$4:$Y$23, MATCH('Scenarios &amp; Measures'!E26, 'Unit Conversions Array'!$B$4:$B$23, 0), MATCH('Scenarios &amp; Measures'!G26, 'Unit Conversions Array'!$E$3:$Y$3, 0)), 0)</f>
        <v>0</v>
      </c>
      <c r="X26" s="19">
        <f t="shared" si="12"/>
        <v>0</v>
      </c>
      <c r="Y26" s="19">
        <f t="shared" si="13"/>
        <v>0</v>
      </c>
      <c r="Z26" s="19">
        <f t="shared" si="14"/>
        <v>0</v>
      </c>
      <c r="AA26" s="17">
        <f t="shared" si="25"/>
        <v>0</v>
      </c>
      <c r="AB26" s="17">
        <f t="shared" si="15"/>
        <v>20</v>
      </c>
      <c r="AC26" s="17">
        <f t="shared" si="16"/>
        <v>-20</v>
      </c>
      <c r="AD26" s="17">
        <f t="shared" si="17"/>
        <v>0</v>
      </c>
      <c r="AE26" s="18">
        <f t="shared" si="18"/>
        <v>0</v>
      </c>
      <c r="AF26" s="19">
        <f t="shared" si="6"/>
        <v>0</v>
      </c>
      <c r="AG26" s="12">
        <f t="shared" si="7"/>
        <v>0</v>
      </c>
      <c r="AH26" s="17">
        <f t="shared" si="19"/>
        <v>0</v>
      </c>
      <c r="AI26" s="23">
        <f>IF($V$10="RECs", -Y26/VLOOKUP("RECs", 'General Project Info'!$R$30:$W$40, 5, FALSE)*$V$11*IF($X$11=$Z$12, $X$10, (1/($Z$12-$X$11))*(1-($X$11/$Z$12)^$X$10)*$Z$12), 0)</f>
        <v>0</v>
      </c>
      <c r="AJ26" s="17">
        <f t="shared" si="20"/>
        <v>0</v>
      </c>
      <c r="AK26" s="17">
        <f t="shared" si="21"/>
        <v>0</v>
      </c>
      <c r="AL26" s="17">
        <f t="shared" si="22"/>
        <v>0</v>
      </c>
      <c r="AN26" s="12">
        <f t="shared" si="23"/>
        <v>0</v>
      </c>
      <c r="AO26" s="12">
        <f t="shared" si="29"/>
        <v>0</v>
      </c>
      <c r="AP26" s="12">
        <f t="shared" si="29"/>
        <v>0</v>
      </c>
      <c r="AQ26" s="12">
        <f t="shared" si="29"/>
        <v>0</v>
      </c>
      <c r="AR26" s="12">
        <f t="shared" si="29"/>
        <v>0</v>
      </c>
      <c r="AS26" s="12">
        <f t="shared" si="29"/>
        <v>0</v>
      </c>
      <c r="AT26" s="12">
        <f t="shared" si="29"/>
        <v>0</v>
      </c>
      <c r="AU26" s="12">
        <f t="shared" si="29"/>
        <v>0</v>
      </c>
      <c r="AV26" s="12">
        <f t="shared" si="29"/>
        <v>0</v>
      </c>
      <c r="AW26" s="12">
        <f t="shared" si="29"/>
        <v>0</v>
      </c>
      <c r="AX26" s="12">
        <f t="shared" si="29"/>
        <v>0</v>
      </c>
      <c r="AY26" s="12">
        <f t="shared" si="29"/>
        <v>0</v>
      </c>
      <c r="AZ26" s="12">
        <f t="shared" si="29"/>
        <v>0</v>
      </c>
      <c r="BA26" s="12">
        <f t="shared" si="29"/>
        <v>0</v>
      </c>
      <c r="BB26" s="12">
        <f t="shared" si="29"/>
        <v>0</v>
      </c>
      <c r="BC26" s="12">
        <f t="shared" si="29"/>
        <v>0</v>
      </c>
      <c r="BD26" s="12">
        <f t="shared" si="29"/>
        <v>0</v>
      </c>
      <c r="BE26" s="12">
        <f t="shared" si="29"/>
        <v>0</v>
      </c>
      <c r="BF26" s="12">
        <f t="shared" si="29"/>
        <v>0</v>
      </c>
      <c r="BG26" s="12">
        <f t="shared" si="29"/>
        <v>0</v>
      </c>
      <c r="BH26" s="12">
        <f t="shared" si="29"/>
        <v>0</v>
      </c>
      <c r="BI26" s="12">
        <f t="shared" si="29"/>
        <v>0</v>
      </c>
      <c r="BJ26" s="12">
        <f t="shared" si="29"/>
        <v>0</v>
      </c>
      <c r="BK26" s="12">
        <f t="shared" si="29"/>
        <v>0</v>
      </c>
      <c r="BL26" s="12">
        <f t="shared" si="29"/>
        <v>0</v>
      </c>
      <c r="BM26" s="12">
        <f t="shared" si="29"/>
        <v>0</v>
      </c>
      <c r="BN26" s="12">
        <f t="shared" si="29"/>
        <v>0</v>
      </c>
      <c r="BO26" s="12">
        <f t="shared" si="29"/>
        <v>0</v>
      </c>
      <c r="BP26" s="12">
        <f t="shared" si="29"/>
        <v>0</v>
      </c>
      <c r="BQ26" s="12">
        <f t="shared" si="29"/>
        <v>0</v>
      </c>
      <c r="BR26" s="12">
        <f t="shared" si="29"/>
        <v>0</v>
      </c>
      <c r="BS26" s="12">
        <f t="shared" si="29"/>
        <v>0</v>
      </c>
      <c r="BT26" s="12">
        <f t="shared" si="29"/>
        <v>0</v>
      </c>
      <c r="BU26" s="12">
        <f t="shared" si="29"/>
        <v>0</v>
      </c>
      <c r="BV26" s="12">
        <f t="shared" si="29"/>
        <v>0</v>
      </c>
      <c r="BW26" s="12">
        <f t="shared" si="29"/>
        <v>0</v>
      </c>
      <c r="BX26" s="12">
        <f t="shared" si="29"/>
        <v>0</v>
      </c>
      <c r="BY26" s="12">
        <f t="shared" si="29"/>
        <v>0</v>
      </c>
      <c r="BZ26" s="12">
        <f t="shared" si="29"/>
        <v>0</v>
      </c>
      <c r="CA26" s="12">
        <f t="shared" si="29"/>
        <v>0</v>
      </c>
      <c r="CB26" s="12">
        <f t="shared" si="29"/>
        <v>0</v>
      </c>
      <c r="CC26" s="12">
        <f t="shared" si="29"/>
        <v>0</v>
      </c>
      <c r="CD26" s="12">
        <f t="shared" si="29"/>
        <v>0</v>
      </c>
      <c r="CE26" s="12">
        <f t="shared" si="29"/>
        <v>0</v>
      </c>
      <c r="CF26" s="12">
        <f t="shared" si="29"/>
        <v>0</v>
      </c>
      <c r="CG26" s="12">
        <f t="shared" si="29"/>
        <v>0</v>
      </c>
      <c r="CH26" s="12">
        <f t="shared" si="29"/>
        <v>0</v>
      </c>
      <c r="CI26" s="12">
        <f t="shared" si="29"/>
        <v>0</v>
      </c>
      <c r="CJ26" s="12">
        <f t="shared" si="29"/>
        <v>0</v>
      </c>
      <c r="CK26" s="12">
        <f t="shared" si="29"/>
        <v>0</v>
      </c>
      <c r="CL26" s="12">
        <f t="shared" si="29"/>
        <v>0</v>
      </c>
      <c r="CM26" s="12">
        <f t="shared" si="29"/>
        <v>0</v>
      </c>
      <c r="CN26" s="12">
        <f t="shared" si="29"/>
        <v>0</v>
      </c>
      <c r="CO26" s="12">
        <f t="shared" si="29"/>
        <v>0</v>
      </c>
      <c r="CP26" s="12">
        <f t="shared" si="29"/>
        <v>0</v>
      </c>
      <c r="CQ26" s="12">
        <f t="shared" si="29"/>
        <v>0</v>
      </c>
      <c r="CR26" s="12">
        <f t="shared" si="29"/>
        <v>0</v>
      </c>
      <c r="CS26" s="12">
        <f t="shared" si="29"/>
        <v>0</v>
      </c>
      <c r="CT26" s="12">
        <f t="shared" si="29"/>
        <v>0</v>
      </c>
      <c r="CU26" s="12">
        <f t="shared" si="29"/>
        <v>0</v>
      </c>
      <c r="CV26" s="12">
        <f t="shared" si="29"/>
        <v>0</v>
      </c>
      <c r="CW26" s="12">
        <f t="shared" si="29"/>
        <v>0</v>
      </c>
      <c r="CX26" s="12">
        <f t="shared" si="29"/>
        <v>0</v>
      </c>
      <c r="CY26" s="12">
        <f t="shared" si="29"/>
        <v>0</v>
      </c>
      <c r="CZ26" s="12">
        <f t="shared" si="29"/>
        <v>0</v>
      </c>
      <c r="DA26" s="12">
        <f t="shared" si="28"/>
        <v>0</v>
      </c>
      <c r="DB26" s="12">
        <f t="shared" si="28"/>
        <v>0</v>
      </c>
      <c r="DC26" s="12">
        <f t="shared" si="28"/>
        <v>0</v>
      </c>
      <c r="DD26" s="12">
        <f t="shared" si="28"/>
        <v>0</v>
      </c>
      <c r="DE26" s="12">
        <f t="shared" si="28"/>
        <v>0</v>
      </c>
      <c r="DF26" s="12">
        <f t="shared" si="28"/>
        <v>0</v>
      </c>
      <c r="DG26" s="12">
        <f t="shared" si="28"/>
        <v>0</v>
      </c>
      <c r="DH26" s="12">
        <f t="shared" si="28"/>
        <v>0</v>
      </c>
      <c r="DI26" s="12">
        <f t="shared" si="28"/>
        <v>0</v>
      </c>
      <c r="DJ26" s="12">
        <f t="shared" si="28"/>
        <v>0</v>
      </c>
      <c r="DK26" s="12">
        <f t="shared" si="28"/>
        <v>0</v>
      </c>
      <c r="DL26" s="12">
        <f t="shared" si="28"/>
        <v>0</v>
      </c>
      <c r="DM26" s="12">
        <f t="shared" si="28"/>
        <v>0</v>
      </c>
      <c r="DN26" s="12">
        <f t="shared" si="28"/>
        <v>0</v>
      </c>
      <c r="DO26" s="12">
        <f t="shared" si="28"/>
        <v>0</v>
      </c>
      <c r="DP26" s="12">
        <f t="shared" si="28"/>
        <v>0</v>
      </c>
      <c r="DQ26" s="12">
        <f t="shared" si="28"/>
        <v>0</v>
      </c>
      <c r="DR26" s="12">
        <f t="shared" si="28"/>
        <v>0</v>
      </c>
      <c r="DS26" s="12">
        <f t="shared" si="28"/>
        <v>0</v>
      </c>
      <c r="DT26" s="12">
        <f t="shared" si="28"/>
        <v>0</v>
      </c>
      <c r="DU26" s="12">
        <f t="shared" si="28"/>
        <v>0</v>
      </c>
      <c r="DV26" s="12">
        <f t="shared" si="28"/>
        <v>0</v>
      </c>
      <c r="DW26" s="12">
        <f t="shared" si="28"/>
        <v>0</v>
      </c>
      <c r="DX26" s="12">
        <f t="shared" si="28"/>
        <v>0</v>
      </c>
      <c r="DY26" s="12">
        <f t="shared" si="28"/>
        <v>0</v>
      </c>
      <c r="DZ26" s="12">
        <f t="shared" si="28"/>
        <v>0</v>
      </c>
      <c r="EA26" s="12">
        <f t="shared" si="28"/>
        <v>0</v>
      </c>
      <c r="EB26" s="12">
        <f t="shared" si="28"/>
        <v>0</v>
      </c>
      <c r="EC26" s="12">
        <f t="shared" si="28"/>
        <v>0</v>
      </c>
      <c r="ED26" s="12">
        <f t="shared" si="28"/>
        <v>0</v>
      </c>
      <c r="EE26" s="12">
        <f t="shared" si="28"/>
        <v>0</v>
      </c>
      <c r="EF26" s="12">
        <f t="shared" si="28"/>
        <v>0</v>
      </c>
      <c r="EG26" s="12">
        <f t="shared" si="28"/>
        <v>0</v>
      </c>
      <c r="EH26" s="12">
        <f t="shared" si="28"/>
        <v>0</v>
      </c>
      <c r="EI26" s="12">
        <f t="shared" si="28"/>
        <v>0</v>
      </c>
      <c r="EJ26" s="12">
        <f t="shared" si="28"/>
        <v>0</v>
      </c>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row>
    <row r="27" spans="1:348" x14ac:dyDescent="0.35">
      <c r="A27" s="132"/>
      <c r="B27" s="27"/>
      <c r="C27" s="170"/>
      <c r="D27" s="170"/>
      <c r="E27" s="103"/>
      <c r="F27" s="105"/>
      <c r="G27" s="36" t="str">
        <f>IFERROR(VLOOKUP(E27, 'General Project Info'!$C$30:$I$40, 7, FALSE), "")</f>
        <v/>
      </c>
      <c r="H27" s="41">
        <f>IFERROR(X27*VLOOKUP(E27, 'General Project Info'!$R$30:$T$40, 3, FALSE), 0)</f>
        <v>0</v>
      </c>
      <c r="I27" s="42">
        <f>IFERROR(IF($T27="Yes", $X27*VLOOKUP($E27, 'General Project Info'!$R$30:$W$40, 5, FALSE), 0), 0)</f>
        <v>0</v>
      </c>
      <c r="J27" s="42">
        <f>IFERROR(IF($T27="No", $X27*VLOOKUP($E27, 'General Project Info'!$R$30:$W$40, 5, FALSE), 0), 0)</f>
        <v>0</v>
      </c>
      <c r="K27" s="108"/>
      <c r="L27" s="108"/>
      <c r="M27" s="109"/>
      <c r="N27" s="109"/>
      <c r="O27" s="109"/>
      <c r="P27" s="43">
        <f t="shared" si="10"/>
        <v>0</v>
      </c>
      <c r="Q27" s="27"/>
      <c r="R27" s="132"/>
      <c r="T27" s="18" t="e">
        <f>VLOOKUP($E27, 'Unit Conversions Array'!$B$4:$Z$23, 25, FALSE)</f>
        <v>#N/A</v>
      </c>
      <c r="U27">
        <f>VLOOKUP(E27, 'General Project Info'!$R$30:$W$40, 6, FALSE)</f>
        <v>1</v>
      </c>
      <c r="V27" s="18">
        <f t="shared" si="11"/>
        <v>0</v>
      </c>
      <c r="W27" s="18">
        <f>IFERROR(F27*INDEX('Unit Conversions Array'!$E$4:$Y$23, MATCH('Scenarios &amp; Measures'!E27, 'Unit Conversions Array'!$B$4:$B$23, 0), MATCH('Scenarios &amp; Measures'!G27, 'Unit Conversions Array'!$E$3:$Y$3, 0)), 0)</f>
        <v>0</v>
      </c>
      <c r="X27" s="19">
        <f t="shared" si="12"/>
        <v>0</v>
      </c>
      <c r="Y27" s="19">
        <f t="shared" si="13"/>
        <v>0</v>
      </c>
      <c r="Z27" s="19">
        <f t="shared" si="14"/>
        <v>0</v>
      </c>
      <c r="AA27" s="17">
        <f t="shared" si="25"/>
        <v>0</v>
      </c>
      <c r="AB27" s="17">
        <f t="shared" si="15"/>
        <v>20</v>
      </c>
      <c r="AC27" s="17">
        <f t="shared" si="16"/>
        <v>-20</v>
      </c>
      <c r="AD27" s="17">
        <f t="shared" si="17"/>
        <v>0</v>
      </c>
      <c r="AE27" s="18">
        <f t="shared" si="18"/>
        <v>0</v>
      </c>
      <c r="AF27" s="19">
        <f t="shared" si="6"/>
        <v>0</v>
      </c>
      <c r="AG27" s="12">
        <f t="shared" si="7"/>
        <v>0</v>
      </c>
      <c r="AH27" s="17">
        <f t="shared" si="19"/>
        <v>0</v>
      </c>
      <c r="AI27" s="23">
        <f>IF($V$10="RECs", -Y27/VLOOKUP("RECs", 'General Project Info'!$R$30:$W$40, 5, FALSE)*$V$11*IF($X$11=$Z$12, $X$10, (1/($Z$12-$X$11))*(1-($X$11/$Z$12)^$X$10)*$Z$12), 0)</f>
        <v>0</v>
      </c>
      <c r="AJ27" s="17">
        <f t="shared" si="20"/>
        <v>0</v>
      </c>
      <c r="AK27" s="17">
        <f t="shared" si="21"/>
        <v>0</v>
      </c>
      <c r="AL27" s="17">
        <f t="shared" si="22"/>
        <v>0</v>
      </c>
      <c r="AN27" s="12">
        <f t="shared" si="23"/>
        <v>0</v>
      </c>
      <c r="AO27" s="12">
        <f t="shared" si="29"/>
        <v>0</v>
      </c>
      <c r="AP27" s="12">
        <f t="shared" si="29"/>
        <v>0</v>
      </c>
      <c r="AQ27" s="12">
        <f t="shared" si="29"/>
        <v>0</v>
      </c>
      <c r="AR27" s="12">
        <f t="shared" si="29"/>
        <v>0</v>
      </c>
      <c r="AS27" s="12">
        <f t="shared" si="29"/>
        <v>0</v>
      </c>
      <c r="AT27" s="12">
        <f t="shared" si="29"/>
        <v>0</v>
      </c>
      <c r="AU27" s="12">
        <f t="shared" si="29"/>
        <v>0</v>
      </c>
      <c r="AV27" s="12">
        <f t="shared" si="29"/>
        <v>0</v>
      </c>
      <c r="AW27" s="12">
        <f t="shared" si="29"/>
        <v>0</v>
      </c>
      <c r="AX27" s="12">
        <f t="shared" si="29"/>
        <v>0</v>
      </c>
      <c r="AY27" s="12">
        <f t="shared" si="29"/>
        <v>0</v>
      </c>
      <c r="AZ27" s="12">
        <f t="shared" si="29"/>
        <v>0</v>
      </c>
      <c r="BA27" s="12">
        <f t="shared" si="29"/>
        <v>0</v>
      </c>
      <c r="BB27" s="12">
        <f t="shared" si="29"/>
        <v>0</v>
      </c>
      <c r="BC27" s="12">
        <f t="shared" si="29"/>
        <v>0</v>
      </c>
      <c r="BD27" s="12">
        <f t="shared" si="29"/>
        <v>0</v>
      </c>
      <c r="BE27" s="12">
        <f t="shared" si="29"/>
        <v>0</v>
      </c>
      <c r="BF27" s="12">
        <f t="shared" si="29"/>
        <v>0</v>
      </c>
      <c r="BG27" s="12">
        <f t="shared" si="29"/>
        <v>0</v>
      </c>
      <c r="BH27" s="12">
        <f t="shared" si="29"/>
        <v>0</v>
      </c>
      <c r="BI27" s="12">
        <f t="shared" si="29"/>
        <v>0</v>
      </c>
      <c r="BJ27" s="12">
        <f t="shared" si="29"/>
        <v>0</v>
      </c>
      <c r="BK27" s="12">
        <f t="shared" si="29"/>
        <v>0</v>
      </c>
      <c r="BL27" s="12">
        <f t="shared" si="29"/>
        <v>0</v>
      </c>
      <c r="BM27" s="12">
        <f t="shared" si="29"/>
        <v>0</v>
      </c>
      <c r="BN27" s="12">
        <f t="shared" si="29"/>
        <v>0</v>
      </c>
      <c r="BO27" s="12">
        <f t="shared" si="29"/>
        <v>0</v>
      </c>
      <c r="BP27" s="12">
        <f t="shared" si="29"/>
        <v>0</v>
      </c>
      <c r="BQ27" s="12">
        <f t="shared" si="29"/>
        <v>0</v>
      </c>
      <c r="BR27" s="12">
        <f t="shared" si="29"/>
        <v>0</v>
      </c>
      <c r="BS27" s="12">
        <f t="shared" si="29"/>
        <v>0</v>
      </c>
      <c r="BT27" s="12">
        <f t="shared" si="29"/>
        <v>0</v>
      </c>
      <c r="BU27" s="12">
        <f t="shared" si="29"/>
        <v>0</v>
      </c>
      <c r="BV27" s="12">
        <f t="shared" si="29"/>
        <v>0</v>
      </c>
      <c r="BW27" s="12">
        <f t="shared" si="29"/>
        <v>0</v>
      </c>
      <c r="BX27" s="12">
        <f t="shared" si="29"/>
        <v>0</v>
      </c>
      <c r="BY27" s="12">
        <f t="shared" si="29"/>
        <v>0</v>
      </c>
      <c r="BZ27" s="12">
        <f t="shared" si="29"/>
        <v>0</v>
      </c>
      <c r="CA27" s="12">
        <f t="shared" si="29"/>
        <v>0</v>
      </c>
      <c r="CB27" s="12">
        <f t="shared" si="29"/>
        <v>0</v>
      </c>
      <c r="CC27" s="12">
        <f t="shared" si="29"/>
        <v>0</v>
      </c>
      <c r="CD27" s="12">
        <f t="shared" si="29"/>
        <v>0</v>
      </c>
      <c r="CE27" s="12">
        <f t="shared" si="29"/>
        <v>0</v>
      </c>
      <c r="CF27" s="12">
        <f t="shared" si="29"/>
        <v>0</v>
      </c>
      <c r="CG27" s="12">
        <f t="shared" si="29"/>
        <v>0</v>
      </c>
      <c r="CH27" s="12">
        <f t="shared" si="29"/>
        <v>0</v>
      </c>
      <c r="CI27" s="12">
        <f t="shared" si="29"/>
        <v>0</v>
      </c>
      <c r="CJ27" s="12">
        <f t="shared" si="29"/>
        <v>0</v>
      </c>
      <c r="CK27" s="12">
        <f t="shared" si="29"/>
        <v>0</v>
      </c>
      <c r="CL27" s="12">
        <f t="shared" si="29"/>
        <v>0</v>
      </c>
      <c r="CM27" s="12">
        <f t="shared" si="29"/>
        <v>0</v>
      </c>
      <c r="CN27" s="12">
        <f t="shared" si="29"/>
        <v>0</v>
      </c>
      <c r="CO27" s="12">
        <f t="shared" si="29"/>
        <v>0</v>
      </c>
      <c r="CP27" s="12">
        <f t="shared" si="29"/>
        <v>0</v>
      </c>
      <c r="CQ27" s="12">
        <f t="shared" si="29"/>
        <v>0</v>
      </c>
      <c r="CR27" s="12">
        <f t="shared" si="29"/>
        <v>0</v>
      </c>
      <c r="CS27" s="12">
        <f t="shared" si="29"/>
        <v>0</v>
      </c>
      <c r="CT27" s="12">
        <f t="shared" si="29"/>
        <v>0</v>
      </c>
      <c r="CU27" s="12">
        <f t="shared" si="29"/>
        <v>0</v>
      </c>
      <c r="CV27" s="12">
        <f t="shared" si="29"/>
        <v>0</v>
      </c>
      <c r="CW27" s="12">
        <f t="shared" si="29"/>
        <v>0</v>
      </c>
      <c r="CX27" s="12">
        <f t="shared" si="29"/>
        <v>0</v>
      </c>
      <c r="CY27" s="12">
        <f t="shared" si="29"/>
        <v>0</v>
      </c>
      <c r="CZ27" s="12">
        <f t="shared" ref="CZ27:EJ27" si="30">IFERROR(IF(CZ$13&gt;=$X$10, 0, IF(MOD($AD27+CZ$13, $K27)=0, (($M27-$N27)*$Z$11^CZ$13), 0)), 0)</f>
        <v>0</v>
      </c>
      <c r="DA27" s="12">
        <f t="shared" si="30"/>
        <v>0</v>
      </c>
      <c r="DB27" s="12">
        <f t="shared" si="30"/>
        <v>0</v>
      </c>
      <c r="DC27" s="12">
        <f t="shared" si="30"/>
        <v>0</v>
      </c>
      <c r="DD27" s="12">
        <f t="shared" si="30"/>
        <v>0</v>
      </c>
      <c r="DE27" s="12">
        <f t="shared" si="30"/>
        <v>0</v>
      </c>
      <c r="DF27" s="12">
        <f t="shared" si="30"/>
        <v>0</v>
      </c>
      <c r="DG27" s="12">
        <f t="shared" si="30"/>
        <v>0</v>
      </c>
      <c r="DH27" s="12">
        <f t="shared" si="30"/>
        <v>0</v>
      </c>
      <c r="DI27" s="12">
        <f t="shared" si="30"/>
        <v>0</v>
      </c>
      <c r="DJ27" s="12">
        <f t="shared" si="30"/>
        <v>0</v>
      </c>
      <c r="DK27" s="12">
        <f t="shared" si="30"/>
        <v>0</v>
      </c>
      <c r="DL27" s="12">
        <f t="shared" si="30"/>
        <v>0</v>
      </c>
      <c r="DM27" s="12">
        <f t="shared" si="30"/>
        <v>0</v>
      </c>
      <c r="DN27" s="12">
        <f t="shared" si="30"/>
        <v>0</v>
      </c>
      <c r="DO27" s="12">
        <f t="shared" si="30"/>
        <v>0</v>
      </c>
      <c r="DP27" s="12">
        <f t="shared" si="30"/>
        <v>0</v>
      </c>
      <c r="DQ27" s="12">
        <f t="shared" si="30"/>
        <v>0</v>
      </c>
      <c r="DR27" s="12">
        <f t="shared" si="30"/>
        <v>0</v>
      </c>
      <c r="DS27" s="12">
        <f t="shared" si="30"/>
        <v>0</v>
      </c>
      <c r="DT27" s="12">
        <f t="shared" si="30"/>
        <v>0</v>
      </c>
      <c r="DU27" s="12">
        <f t="shared" si="30"/>
        <v>0</v>
      </c>
      <c r="DV27" s="12">
        <f t="shared" si="30"/>
        <v>0</v>
      </c>
      <c r="DW27" s="12">
        <f t="shared" si="30"/>
        <v>0</v>
      </c>
      <c r="DX27" s="12">
        <f t="shared" si="30"/>
        <v>0</v>
      </c>
      <c r="DY27" s="12">
        <f t="shared" si="30"/>
        <v>0</v>
      </c>
      <c r="DZ27" s="12">
        <f t="shared" si="30"/>
        <v>0</v>
      </c>
      <c r="EA27" s="12">
        <f t="shared" si="30"/>
        <v>0</v>
      </c>
      <c r="EB27" s="12">
        <f t="shared" si="30"/>
        <v>0</v>
      </c>
      <c r="EC27" s="12">
        <f t="shared" si="30"/>
        <v>0</v>
      </c>
      <c r="ED27" s="12">
        <f t="shared" si="30"/>
        <v>0</v>
      </c>
      <c r="EE27" s="12">
        <f t="shared" si="30"/>
        <v>0</v>
      </c>
      <c r="EF27" s="12">
        <f t="shared" si="30"/>
        <v>0</v>
      </c>
      <c r="EG27" s="12">
        <f t="shared" si="30"/>
        <v>0</v>
      </c>
      <c r="EH27" s="12">
        <f t="shared" si="30"/>
        <v>0</v>
      </c>
      <c r="EI27" s="12">
        <f t="shared" si="30"/>
        <v>0</v>
      </c>
      <c r="EJ27" s="12">
        <f t="shared" si="30"/>
        <v>0</v>
      </c>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row>
    <row r="28" spans="1:348" x14ac:dyDescent="0.35">
      <c r="A28" s="132"/>
      <c r="B28" s="27"/>
      <c r="C28" s="38"/>
      <c r="D28" s="27"/>
      <c r="E28" s="38"/>
      <c r="F28" s="38"/>
      <c r="G28" s="38"/>
      <c r="H28" s="38"/>
      <c r="I28" s="38"/>
      <c r="J28" s="38"/>
      <c r="K28" s="38"/>
      <c r="L28" s="38"/>
      <c r="M28" s="38"/>
      <c r="N28" s="38"/>
      <c r="O28" s="38"/>
      <c r="P28" s="38"/>
      <c r="Q28" s="27"/>
      <c r="R28" s="132"/>
      <c r="AA28" t="s">
        <v>280</v>
      </c>
      <c r="AE28" t="s">
        <v>286</v>
      </c>
      <c r="AF28" t="s">
        <v>287</v>
      </c>
      <c r="AG28" t="s">
        <v>288</v>
      </c>
      <c r="AH28" t="s">
        <v>289</v>
      </c>
      <c r="AI28" t="s">
        <v>301</v>
      </c>
      <c r="IJ28" s="12"/>
      <c r="IK28" s="12"/>
      <c r="IL28" s="12"/>
      <c r="IM28" s="12"/>
      <c r="IN28" s="12"/>
      <c r="IO28" s="12"/>
    </row>
    <row r="29" spans="1:348" x14ac:dyDescent="0.35">
      <c r="A29" s="132"/>
      <c r="B29" s="27"/>
      <c r="C29" s="38"/>
      <c r="D29" s="27"/>
      <c r="E29" s="38" t="s">
        <v>34</v>
      </c>
      <c r="F29" s="44">
        <f>SUM(X14:X27)</f>
        <v>1067555.6858147713</v>
      </c>
      <c r="G29" s="45" t="s">
        <v>35</v>
      </c>
      <c r="H29" s="46">
        <f>SUM(H14:H27)</f>
        <v>26000</v>
      </c>
      <c r="I29" s="44">
        <f>SUM(I14:I27)</f>
        <v>0</v>
      </c>
      <c r="J29" s="44">
        <f>SUM(J14:J27)</f>
        <v>189927.6575821822</v>
      </c>
      <c r="K29" s="45" t="s">
        <v>13</v>
      </c>
      <c r="L29" s="45" t="s">
        <v>13</v>
      </c>
      <c r="M29" s="47">
        <f>SUM(M14:M27)</f>
        <v>100000</v>
      </c>
      <c r="N29" s="47">
        <f>SUM(N14:N27)</f>
        <v>0</v>
      </c>
      <c r="O29" s="47">
        <f>SUM(O14:O27)</f>
        <v>12000</v>
      </c>
      <c r="P29" s="47">
        <f>SUM(P14:P27)</f>
        <v>68639.285254530609</v>
      </c>
      <c r="Q29" s="27"/>
      <c r="R29" s="132"/>
      <c r="V29" s="12"/>
      <c r="W29" t="s">
        <v>280</v>
      </c>
      <c r="X29" t="s">
        <v>283</v>
      </c>
      <c r="Y29" s="12" t="s">
        <v>284</v>
      </c>
      <c r="AA29" s="12" t="s">
        <v>281</v>
      </c>
      <c r="AB29" s="12"/>
      <c r="AC29" s="12"/>
      <c r="AD29" s="12"/>
      <c r="AE29">
        <f>IF($V$10="Carbon Offset", $I30*$V$12, 0)</f>
        <v>0</v>
      </c>
      <c r="AF29">
        <f>IF($X$11=$Z$12, $AE29*$X$10, ($AE29/($Z$12-$X$11))*(1-($X$11/$Z$12)^$X$10)*$Z$12)</f>
        <v>0</v>
      </c>
      <c r="AG29">
        <f>IF($V$10="RECs", (-$I30/(VLOOKUP("RECs", 'General Project Info'!$R$30:$W$40, 5, FALSE)))*$V$11, 0)</f>
        <v>0</v>
      </c>
      <c r="AH29">
        <f>IF($X$11=$Z$12, $AG29*$X$10, ($AG29/($Z$12-$X$11))*(1-($X$11/$Z$12)^$X$10)*$Z$12)</f>
        <v>0</v>
      </c>
      <c r="IJ29" s="12"/>
      <c r="IK29" s="12"/>
      <c r="IL29" s="12"/>
      <c r="IM29" s="12"/>
      <c r="IN29" s="12"/>
      <c r="IO29" s="12"/>
    </row>
    <row r="30" spans="1:348" x14ac:dyDescent="0.35">
      <c r="A30" s="132"/>
      <c r="B30" s="27"/>
      <c r="C30" s="38"/>
      <c r="D30" s="27"/>
      <c r="E30" s="38" t="s">
        <v>463</v>
      </c>
      <c r="F30" s="105"/>
      <c r="G30" s="37" t="s">
        <v>35</v>
      </c>
      <c r="H30" s="110"/>
      <c r="I30" s="105"/>
      <c r="J30" s="105"/>
      <c r="K30" s="37" t="s">
        <v>13</v>
      </c>
      <c r="L30" s="37" t="s">
        <v>13</v>
      </c>
      <c r="M30" s="37" t="s">
        <v>13</v>
      </c>
      <c r="N30" s="37" t="s">
        <v>13</v>
      </c>
      <c r="O30" s="111"/>
      <c r="P30" s="37" t="s">
        <v>13</v>
      </c>
      <c r="Q30" s="27"/>
      <c r="R30" s="132"/>
      <c r="T30" t="s">
        <v>260</v>
      </c>
      <c r="U30" s="10">
        <f>IF(H30&gt;0, X30, SUM(V14:V27))+IF(I30&gt;0, SUM(AF14:AF27)/I29*I30+AF29+AH29, SUM(AF14:AF27)+SUM(AI14:AJ27))+IF(J30&gt;0, SUM(AG14:AG27)/J29*J30+AF30, SUM(AG14:AG27)+SUM(AK14:AK27))+SUM(AH14:AH27)+IF(O30&gt;0, Y30, SUM(AE14:AE27))-P29</f>
        <v>1096628.4266189509</v>
      </c>
      <c r="W30" t="s">
        <v>285</v>
      </c>
      <c r="X30" s="12">
        <f>IF(AE12=$Z$12, H30*$X$10, (H30/($Z$12-AE12))*(1-(AE12/$Z$12)^$X$10)*$Z$12)</f>
        <v>0</v>
      </c>
      <c r="Y30">
        <f>IF($Z$11=$Z$12, $O$30*$X$10, ($O$30/($Z$12-$Z$11))*(1-($Z$11/$Z$12)^$X$10)*$Z$12)</f>
        <v>0</v>
      </c>
      <c r="AA30" t="s">
        <v>282</v>
      </c>
      <c r="AE30">
        <f>$J30*$V$12</f>
        <v>0</v>
      </c>
      <c r="AF30">
        <f>IF($X$11=$Z$12, $AE30*$X$10, ($AE30/($Z$12-$X$11))*(1-($X$11/$Z$12)^$X$10)*$Z$12)</f>
        <v>0</v>
      </c>
      <c r="AL30" s="12"/>
    </row>
    <row r="31" spans="1:348" x14ac:dyDescent="0.35">
      <c r="A31" s="132"/>
      <c r="B31" s="27"/>
      <c r="C31" s="27"/>
      <c r="D31" s="27"/>
      <c r="E31" s="27"/>
      <c r="F31" s="27"/>
      <c r="G31" s="27"/>
      <c r="H31" s="34"/>
      <c r="I31" s="39"/>
      <c r="J31" s="39"/>
      <c r="K31" s="27"/>
      <c r="L31" s="27"/>
      <c r="M31" s="27"/>
      <c r="N31" s="27"/>
      <c r="O31" s="34"/>
      <c r="P31" s="27"/>
      <c r="Q31" s="27"/>
      <c r="R31" s="132"/>
      <c r="T31" t="s">
        <v>297</v>
      </c>
      <c r="U31">
        <f>$X32+SUM($AE29:$AE32)+$AG29+$AG31+'General Project Info'!$K$20/1000*($V32+$V33)+$X33</f>
        <v>45597.106303287292</v>
      </c>
      <c r="Z31" t="s">
        <v>296</v>
      </c>
      <c r="AA31" t="s">
        <v>281</v>
      </c>
      <c r="AE31">
        <f>IF(I30&lt;&gt;0, 0, IF($V$10="Carbon Offset", $I29*$V$12, 0))</f>
        <v>0</v>
      </c>
      <c r="AG31">
        <f>IF(I30&lt;&gt;0, 0, IF($V$10="RECs", (-$I29/(VLOOKUP("RECs", 'General Project Info'!$R$30:$W$40, 5, FALSE)))*$V$11, 0))</f>
        <v>0</v>
      </c>
    </row>
    <row r="32" spans="1:348" x14ac:dyDescent="0.35">
      <c r="A32" s="132"/>
      <c r="B32" s="27"/>
      <c r="C32" s="27"/>
      <c r="D32" s="27"/>
      <c r="E32" s="27"/>
      <c r="F32" s="27"/>
      <c r="G32" s="27"/>
      <c r="H32" s="27"/>
      <c r="I32" s="34"/>
      <c r="J32" s="34"/>
      <c r="K32" s="27"/>
      <c r="L32" s="27"/>
      <c r="M32" s="27"/>
      <c r="N32" s="27"/>
      <c r="O32" s="27"/>
      <c r="P32" s="27"/>
      <c r="Q32" s="27"/>
      <c r="R32" s="132"/>
      <c r="T32" t="s">
        <v>453</v>
      </c>
      <c r="V32" s="12">
        <f>IF(I30&gt;0, I30, I29)</f>
        <v>0</v>
      </c>
      <c r="W32" s="25" t="s">
        <v>300</v>
      </c>
      <c r="X32" s="25">
        <f>IF(H30&gt;0, H30, H29)</f>
        <v>26000</v>
      </c>
      <c r="AA32" s="12" t="s">
        <v>282</v>
      </c>
      <c r="AB32" s="12"/>
      <c r="AC32" s="12"/>
      <c r="AD32" s="12"/>
      <c r="AE32">
        <f>IF(J30&lt;&gt;0, 0, $J29*$V$12)</f>
        <v>3798.553151643644</v>
      </c>
      <c r="AL32" s="12"/>
    </row>
    <row r="33" spans="1:345" x14ac:dyDescent="0.35">
      <c r="A33" s="132"/>
      <c r="B33" s="27"/>
      <c r="C33" s="27"/>
      <c r="D33" s="27"/>
      <c r="E33" s="27"/>
      <c r="F33" s="27"/>
      <c r="G33" s="27"/>
      <c r="H33" s="27"/>
      <c r="I33" s="34"/>
      <c r="J33" s="27"/>
      <c r="K33" s="27"/>
      <c r="L33" s="27"/>
      <c r="M33" s="27"/>
      <c r="N33" s="27"/>
      <c r="O33" s="27"/>
      <c r="P33" s="27"/>
      <c r="Q33" s="27"/>
      <c r="R33" s="132"/>
      <c r="T33" t="s">
        <v>454</v>
      </c>
      <c r="V33">
        <f>IF(J30&gt;0, J30, J29)</f>
        <v>189927.6575821822</v>
      </c>
      <c r="W33" s="25" t="s">
        <v>302</v>
      </c>
      <c r="X33" s="25">
        <f>IF(O30&gt;0, O30, O29)</f>
        <v>12000</v>
      </c>
    </row>
    <row r="34" spans="1:345" x14ac:dyDescent="0.35">
      <c r="A34" s="132"/>
      <c r="B34" s="27"/>
      <c r="C34" s="27"/>
      <c r="D34" s="27"/>
      <c r="E34" s="27"/>
      <c r="F34" s="27"/>
      <c r="G34" s="27"/>
      <c r="H34" s="27"/>
      <c r="I34" s="27"/>
      <c r="J34" s="27"/>
      <c r="K34" s="27"/>
      <c r="L34" s="27"/>
      <c r="M34" s="27"/>
      <c r="N34" s="27"/>
      <c r="O34" s="27"/>
      <c r="P34" s="27"/>
      <c r="Q34" s="27"/>
      <c r="R34" s="132"/>
      <c r="U34" s="12"/>
      <c r="V34" s="12"/>
      <c r="W34" s="12"/>
      <c r="X34" s="12"/>
      <c r="AG34" s="12"/>
      <c r="AH34" s="12"/>
      <c r="AI34" s="12"/>
      <c r="AJ34" s="12"/>
      <c r="AK34" s="12"/>
      <c r="AL34" s="12"/>
      <c r="AM34" s="12"/>
    </row>
    <row r="35" spans="1:345" x14ac:dyDescent="0.35">
      <c r="A35" s="132"/>
      <c r="B35" s="27"/>
      <c r="C35" s="27"/>
      <c r="D35" s="27"/>
      <c r="E35" s="27"/>
      <c r="F35" s="27"/>
      <c r="G35" s="27"/>
      <c r="H35" s="27"/>
      <c r="I35" s="27"/>
      <c r="J35" s="27"/>
      <c r="K35" s="27"/>
      <c r="L35" s="27"/>
      <c r="M35" s="27"/>
      <c r="N35" s="27"/>
      <c r="O35" s="27"/>
      <c r="P35" s="27"/>
      <c r="Q35" s="27"/>
      <c r="R35" s="132"/>
    </row>
    <row r="36" spans="1:345" x14ac:dyDescent="0.35">
      <c r="A36" s="132"/>
      <c r="B36" s="27"/>
      <c r="C36" s="28" t="s">
        <v>291</v>
      </c>
      <c r="E36" s="169"/>
      <c r="F36" s="169"/>
      <c r="G36" s="169"/>
      <c r="H36" s="27"/>
      <c r="I36" s="56" t="s">
        <v>438</v>
      </c>
      <c r="J36" s="102"/>
      <c r="K36" s="27"/>
      <c r="L36" s="27"/>
      <c r="M36" s="27"/>
      <c r="N36" s="27"/>
      <c r="O36" s="27"/>
      <c r="P36" s="27"/>
      <c r="Q36" s="27"/>
      <c r="R36" s="132"/>
      <c r="AA36" t="s">
        <v>269</v>
      </c>
      <c r="AE36" t="e">
        <f>SUMIF(T39:T52, "Yes", X39:X52)/SUM(X39:X52)</f>
        <v>#DIV/0!</v>
      </c>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row>
    <row r="37" spans="1:345" x14ac:dyDescent="0.35">
      <c r="A37" s="132"/>
      <c r="B37" s="27"/>
      <c r="C37" s="27"/>
      <c r="D37" s="27"/>
      <c r="E37" s="27"/>
      <c r="F37" s="27"/>
      <c r="G37" s="27"/>
      <c r="H37" s="27"/>
      <c r="I37" s="35"/>
      <c r="J37" s="35"/>
      <c r="K37" s="27"/>
      <c r="L37" s="27"/>
      <c r="M37" s="27"/>
      <c r="N37" s="27"/>
      <c r="O37" s="27"/>
      <c r="P37" s="27"/>
      <c r="Q37" s="27"/>
      <c r="R37" s="132"/>
      <c r="AA37" t="s">
        <v>469</v>
      </c>
      <c r="AE37" s="74" t="e">
        <f>SUMPRODUCT(H39:H52, U39:U52)/SUM(H39:H52)</f>
        <v>#DIV/0!</v>
      </c>
      <c r="AM37" t="s">
        <v>299</v>
      </c>
      <c r="AN37">
        <f>(1/$Z$12)^AN38</f>
        <v>1</v>
      </c>
      <c r="AO37">
        <f t="shared" ref="AO37:CZ37" si="31">(1/$Z$12)^AO38</f>
        <v>0.970873786407767</v>
      </c>
      <c r="AP37">
        <f t="shared" si="31"/>
        <v>0.94259590913375435</v>
      </c>
      <c r="AQ37">
        <f t="shared" si="31"/>
        <v>0.91514165935315961</v>
      </c>
      <c r="AR37">
        <f t="shared" si="31"/>
        <v>0.88848704791568889</v>
      </c>
      <c r="AS37">
        <f t="shared" si="31"/>
        <v>0.862608784384164</v>
      </c>
      <c r="AT37">
        <f t="shared" si="31"/>
        <v>0.83748425668365434</v>
      </c>
      <c r="AU37">
        <f t="shared" si="31"/>
        <v>0.81309151134335378</v>
      </c>
      <c r="AV37">
        <f t="shared" si="31"/>
        <v>0.78940923431393561</v>
      </c>
      <c r="AW37">
        <f t="shared" si="31"/>
        <v>0.76641673234362684</v>
      </c>
      <c r="AX37">
        <f t="shared" si="31"/>
        <v>0.74409391489672505</v>
      </c>
      <c r="AY37">
        <f t="shared" si="31"/>
        <v>0.72242127659876221</v>
      </c>
      <c r="AZ37">
        <f t="shared" si="31"/>
        <v>0.70137988019297304</v>
      </c>
      <c r="BA37">
        <f t="shared" si="31"/>
        <v>0.6809513399931777</v>
      </c>
      <c r="BB37">
        <f t="shared" si="31"/>
        <v>0.66111780581861912</v>
      </c>
      <c r="BC37">
        <f t="shared" si="31"/>
        <v>0.64186194739671765</v>
      </c>
      <c r="BD37">
        <f t="shared" si="31"/>
        <v>0.62316693922011412</v>
      </c>
      <c r="BE37">
        <f t="shared" si="31"/>
        <v>0.60501644584477099</v>
      </c>
      <c r="BF37">
        <f t="shared" si="31"/>
        <v>0.58739460761628248</v>
      </c>
      <c r="BG37">
        <f t="shared" si="31"/>
        <v>0.57028602681192475</v>
      </c>
      <c r="BH37">
        <f t="shared" si="31"/>
        <v>0.55367575418633475</v>
      </c>
      <c r="BI37">
        <f t="shared" si="31"/>
        <v>0.53754927590906287</v>
      </c>
      <c r="BJ37">
        <f t="shared" si="31"/>
        <v>0.52189250088258532</v>
      </c>
      <c r="BK37">
        <f t="shared" si="31"/>
        <v>0.50669174842969444</v>
      </c>
      <c r="BL37">
        <f t="shared" si="31"/>
        <v>0.49193373633950915</v>
      </c>
      <c r="BM37">
        <f t="shared" si="31"/>
        <v>0.47760556926165937</v>
      </c>
      <c r="BN37">
        <f t="shared" si="31"/>
        <v>0.46369472743850421</v>
      </c>
      <c r="BO37">
        <f t="shared" si="31"/>
        <v>0.45018905576553808</v>
      </c>
      <c r="BP37">
        <f t="shared" si="31"/>
        <v>0.43707675317042538</v>
      </c>
      <c r="BQ37">
        <f t="shared" si="31"/>
        <v>0.42434636230138384</v>
      </c>
      <c r="BR37">
        <f t="shared" si="31"/>
        <v>0.41198675951590663</v>
      </c>
      <c r="BS37">
        <f t="shared" si="31"/>
        <v>0.39998714516107442</v>
      </c>
      <c r="BT37">
        <f t="shared" si="31"/>
        <v>0.38833703413696541</v>
      </c>
      <c r="BU37">
        <f t="shared" si="31"/>
        <v>0.37702624673491786</v>
      </c>
      <c r="BV37">
        <f t="shared" si="31"/>
        <v>0.36604489974263871</v>
      </c>
      <c r="BW37">
        <f t="shared" si="31"/>
        <v>0.35538339780838712</v>
      </c>
      <c r="BX37">
        <f t="shared" si="31"/>
        <v>0.34503242505668652</v>
      </c>
      <c r="BY37">
        <f t="shared" si="31"/>
        <v>0.33498293694823933</v>
      </c>
      <c r="BZ37">
        <f t="shared" si="31"/>
        <v>0.32522615237693137</v>
      </c>
      <c r="CA37">
        <f t="shared" si="31"/>
        <v>0.31575354599702077</v>
      </c>
      <c r="CB37">
        <f t="shared" si="31"/>
        <v>0.30655684077380652</v>
      </c>
      <c r="CC37">
        <f t="shared" si="31"/>
        <v>0.2976280007512685</v>
      </c>
      <c r="CD37">
        <f t="shared" si="31"/>
        <v>0.28895922403035773</v>
      </c>
      <c r="CE37">
        <f t="shared" si="31"/>
        <v>0.28054293595180363</v>
      </c>
      <c r="CF37">
        <f t="shared" si="31"/>
        <v>0.27237178247747929</v>
      </c>
      <c r="CG37">
        <f t="shared" si="31"/>
        <v>0.26443862376454297</v>
      </c>
      <c r="CH37">
        <f t="shared" si="31"/>
        <v>0.25673652792674079</v>
      </c>
      <c r="CI37">
        <f t="shared" si="31"/>
        <v>0.24925876497741822</v>
      </c>
      <c r="CJ37">
        <f t="shared" si="31"/>
        <v>0.24199880094894971</v>
      </c>
      <c r="CK37">
        <f t="shared" si="31"/>
        <v>0.23495029218344632</v>
      </c>
      <c r="CL37">
        <f t="shared" si="31"/>
        <v>0.2281070797897537</v>
      </c>
      <c r="CM37">
        <f t="shared" si="31"/>
        <v>0.22146318426189679</v>
      </c>
      <c r="CN37">
        <f t="shared" si="31"/>
        <v>0.21501280025426875</v>
      </c>
      <c r="CO37">
        <f t="shared" si="31"/>
        <v>0.20875029150899879</v>
      </c>
      <c r="CP37">
        <f t="shared" si="31"/>
        <v>0.20267018593106678</v>
      </c>
      <c r="CQ37">
        <f t="shared" si="31"/>
        <v>0.19676717080686093</v>
      </c>
      <c r="CR37">
        <f t="shared" si="31"/>
        <v>0.19103608816200091</v>
      </c>
      <c r="CS37">
        <f t="shared" si="31"/>
        <v>0.18547193025436981</v>
      </c>
      <c r="CT37">
        <f t="shared" si="31"/>
        <v>0.18006983519841727</v>
      </c>
      <c r="CU37">
        <f t="shared" si="31"/>
        <v>0.17482508271691</v>
      </c>
      <c r="CV37">
        <f t="shared" si="31"/>
        <v>0.16973309001641748</v>
      </c>
      <c r="CW37">
        <f t="shared" si="31"/>
        <v>0.16478940778292958</v>
      </c>
      <c r="CX37">
        <f t="shared" si="31"/>
        <v>0.15998971629410638</v>
      </c>
      <c r="CY37">
        <f t="shared" si="31"/>
        <v>0.1553298216447635</v>
      </c>
      <c r="CZ37">
        <f t="shared" si="31"/>
        <v>0.15080565208229463</v>
      </c>
      <c r="DA37">
        <f t="shared" ref="DA37:EJ37" si="32">(1/$Z$12)^DA38</f>
        <v>0.14641325444882974</v>
      </c>
      <c r="DB37">
        <f t="shared" si="32"/>
        <v>0.14214879072701916</v>
      </c>
      <c r="DC37">
        <f t="shared" si="32"/>
        <v>0.13800853468642638</v>
      </c>
      <c r="DD37">
        <f t="shared" si="32"/>
        <v>0.1339888686275984</v>
      </c>
      <c r="DE37">
        <f t="shared" si="32"/>
        <v>0.13008628022096935</v>
      </c>
      <c r="DF37">
        <f t="shared" si="32"/>
        <v>0.12629735943783429</v>
      </c>
      <c r="DG37">
        <f t="shared" si="32"/>
        <v>0.12261879557071292</v>
      </c>
      <c r="DH37">
        <f t="shared" si="32"/>
        <v>0.11904737434049797</v>
      </c>
      <c r="DI37">
        <f t="shared" si="32"/>
        <v>0.11557997508786211</v>
      </c>
      <c r="DJ37">
        <f t="shared" si="32"/>
        <v>0.11221356804646807</v>
      </c>
      <c r="DK37">
        <f t="shared" si="32"/>
        <v>0.10894521169560006</v>
      </c>
      <c r="DL37">
        <f t="shared" si="32"/>
        <v>0.10577205018990297</v>
      </c>
      <c r="DM37">
        <f t="shared" si="32"/>
        <v>0.10269131086398348</v>
      </c>
      <c r="DN37">
        <f t="shared" si="32"/>
        <v>9.9700301809692693E-2</v>
      </c>
      <c r="DO37">
        <f t="shared" si="32"/>
        <v>9.6796409523973503E-2</v>
      </c>
      <c r="DP37">
        <f t="shared" si="32"/>
        <v>9.3977096625216971E-2</v>
      </c>
      <c r="DQ37">
        <f t="shared" si="32"/>
        <v>9.1239899636132979E-2</v>
      </c>
      <c r="DR37">
        <f t="shared" si="32"/>
        <v>8.8582426831197061E-2</v>
      </c>
      <c r="DS37">
        <f t="shared" si="32"/>
        <v>8.6002356146793274E-2</v>
      </c>
      <c r="DT37">
        <f t="shared" si="32"/>
        <v>8.3497433152226477E-2</v>
      </c>
      <c r="DU37">
        <f t="shared" si="32"/>
        <v>8.1065469079831531E-2</v>
      </c>
      <c r="DV37">
        <f t="shared" si="32"/>
        <v>7.8704338912457802E-2</v>
      </c>
      <c r="DW37">
        <f t="shared" si="32"/>
        <v>7.6411979526658055E-2</v>
      </c>
      <c r="DX37">
        <f t="shared" si="32"/>
        <v>7.4186387889959279E-2</v>
      </c>
      <c r="DY37">
        <f t="shared" si="32"/>
        <v>7.2025619310640068E-2</v>
      </c>
      <c r="DZ37">
        <f t="shared" si="32"/>
        <v>6.9927785738485501E-2</v>
      </c>
      <c r="EA37">
        <f t="shared" si="32"/>
        <v>6.7891054115034474E-2</v>
      </c>
      <c r="EB37">
        <f t="shared" si="32"/>
        <v>6.5913644771878138E-2</v>
      </c>
      <c r="EC37">
        <f t="shared" si="32"/>
        <v>6.3993829875609837E-2</v>
      </c>
      <c r="ED37">
        <f t="shared" si="32"/>
        <v>6.2129931918067802E-2</v>
      </c>
      <c r="EE37">
        <f t="shared" si="32"/>
        <v>6.0320322250551263E-2</v>
      </c>
      <c r="EF37">
        <f t="shared" si="32"/>
        <v>5.8563419660729379E-2</v>
      </c>
      <c r="EG37">
        <f t="shared" si="32"/>
        <v>5.685768899099939E-2</v>
      </c>
      <c r="EH37">
        <f t="shared" si="32"/>
        <v>5.5201639797086789E-2</v>
      </c>
      <c r="EI37">
        <f t="shared" si="32"/>
        <v>5.3593825045715339E-2</v>
      </c>
      <c r="EJ37">
        <f t="shared" si="32"/>
        <v>5.203283985020906E-2</v>
      </c>
    </row>
    <row r="38" spans="1:345" ht="30" customHeight="1" x14ac:dyDescent="0.35">
      <c r="A38" s="132"/>
      <c r="B38" s="27"/>
      <c r="C38" s="168" t="s">
        <v>36</v>
      </c>
      <c r="D38" s="168"/>
      <c r="E38" s="133" t="s">
        <v>461</v>
      </c>
      <c r="F38" s="133" t="s">
        <v>462</v>
      </c>
      <c r="G38" s="133" t="s">
        <v>1</v>
      </c>
      <c r="H38" s="133" t="s">
        <v>405</v>
      </c>
      <c r="I38" s="133" t="s">
        <v>455</v>
      </c>
      <c r="J38" s="133" t="s">
        <v>456</v>
      </c>
      <c r="K38" s="133" t="s">
        <v>2</v>
      </c>
      <c r="L38" s="133" t="s">
        <v>404</v>
      </c>
      <c r="M38" s="133" t="s">
        <v>0</v>
      </c>
      <c r="N38" s="133" t="s">
        <v>24</v>
      </c>
      <c r="O38" s="133" t="s">
        <v>31</v>
      </c>
      <c r="P38" s="72" t="s">
        <v>22</v>
      </c>
      <c r="Q38" s="27"/>
      <c r="R38" s="132"/>
      <c r="T38" s="18" t="s">
        <v>249</v>
      </c>
      <c r="U38" s="18" t="s">
        <v>254</v>
      </c>
      <c r="V38" s="18" t="s">
        <v>261</v>
      </c>
      <c r="W38" s="18" t="s">
        <v>241</v>
      </c>
      <c r="X38" s="18" t="s">
        <v>240</v>
      </c>
      <c r="Y38" s="18" t="s">
        <v>264</v>
      </c>
      <c r="Z38" s="18" t="s">
        <v>265</v>
      </c>
      <c r="AA38" s="18" t="s">
        <v>388</v>
      </c>
      <c r="AB38" s="18" t="s">
        <v>389</v>
      </c>
      <c r="AC38" s="18" t="s">
        <v>390</v>
      </c>
      <c r="AD38" s="18" t="s">
        <v>465</v>
      </c>
      <c r="AE38" s="18" t="s">
        <v>262</v>
      </c>
      <c r="AF38" s="18" t="s">
        <v>266</v>
      </c>
      <c r="AG38" s="18" t="s">
        <v>267</v>
      </c>
      <c r="AH38" s="18" t="s">
        <v>263</v>
      </c>
      <c r="AI38" s="18" t="s">
        <v>277</v>
      </c>
      <c r="AJ38" s="18" t="s">
        <v>278</v>
      </c>
      <c r="AK38" s="18" t="s">
        <v>279</v>
      </c>
      <c r="AL38" s="18" t="s">
        <v>253</v>
      </c>
      <c r="AM38" s="18" t="s">
        <v>251</v>
      </c>
      <c r="AN38" s="18">
        <v>0</v>
      </c>
      <c r="AO38" s="18">
        <v>1</v>
      </c>
      <c r="AP38" s="18">
        <v>2</v>
      </c>
      <c r="AQ38" s="18">
        <v>3</v>
      </c>
      <c r="AR38" s="18">
        <v>4</v>
      </c>
      <c r="AS38" s="18">
        <v>5</v>
      </c>
      <c r="AT38" s="18">
        <v>6</v>
      </c>
      <c r="AU38" s="18">
        <v>7</v>
      </c>
      <c r="AV38" s="18">
        <v>8</v>
      </c>
      <c r="AW38" s="18">
        <v>9</v>
      </c>
      <c r="AX38" s="18">
        <v>10</v>
      </c>
      <c r="AY38" s="18">
        <v>11</v>
      </c>
      <c r="AZ38" s="18">
        <v>12</v>
      </c>
      <c r="BA38" s="18">
        <v>13</v>
      </c>
      <c r="BB38" s="18">
        <v>14</v>
      </c>
      <c r="BC38" s="18">
        <v>15</v>
      </c>
      <c r="BD38" s="18">
        <v>16</v>
      </c>
      <c r="BE38" s="18">
        <v>17</v>
      </c>
      <c r="BF38" s="18">
        <v>18</v>
      </c>
      <c r="BG38" s="18">
        <v>19</v>
      </c>
      <c r="BH38" s="18">
        <v>20</v>
      </c>
      <c r="BI38" s="18">
        <v>21</v>
      </c>
      <c r="BJ38" s="18">
        <v>22</v>
      </c>
      <c r="BK38" s="18">
        <v>23</v>
      </c>
      <c r="BL38" s="18">
        <v>24</v>
      </c>
      <c r="BM38" s="18">
        <v>25</v>
      </c>
      <c r="BN38" s="18">
        <v>26</v>
      </c>
      <c r="BO38" s="18">
        <v>27</v>
      </c>
      <c r="BP38" s="18">
        <v>28</v>
      </c>
      <c r="BQ38" s="18">
        <v>29</v>
      </c>
      <c r="BR38" s="18">
        <v>30</v>
      </c>
      <c r="BS38" s="18">
        <v>31</v>
      </c>
      <c r="BT38" s="18">
        <v>32</v>
      </c>
      <c r="BU38" s="18">
        <v>33</v>
      </c>
      <c r="BV38" s="18">
        <v>34</v>
      </c>
      <c r="BW38" s="18">
        <v>35</v>
      </c>
      <c r="BX38" s="18">
        <v>36</v>
      </c>
      <c r="BY38" s="18">
        <v>37</v>
      </c>
      <c r="BZ38" s="18">
        <v>38</v>
      </c>
      <c r="CA38" s="18">
        <v>39</v>
      </c>
      <c r="CB38" s="18">
        <v>40</v>
      </c>
      <c r="CC38" s="18">
        <v>41</v>
      </c>
      <c r="CD38" s="18">
        <v>42</v>
      </c>
      <c r="CE38" s="18">
        <v>43</v>
      </c>
      <c r="CF38" s="18">
        <v>44</v>
      </c>
      <c r="CG38" s="18">
        <v>45</v>
      </c>
      <c r="CH38" s="18">
        <v>46</v>
      </c>
      <c r="CI38" s="18">
        <v>47</v>
      </c>
      <c r="CJ38" s="18">
        <v>48</v>
      </c>
      <c r="CK38" s="18">
        <v>49</v>
      </c>
      <c r="CL38" s="18">
        <v>50</v>
      </c>
      <c r="CM38" s="18">
        <v>51</v>
      </c>
      <c r="CN38" s="18">
        <v>52</v>
      </c>
      <c r="CO38" s="18">
        <v>53</v>
      </c>
      <c r="CP38" s="18">
        <v>54</v>
      </c>
      <c r="CQ38" s="18">
        <v>55</v>
      </c>
      <c r="CR38" s="18">
        <v>56</v>
      </c>
      <c r="CS38" s="18">
        <v>57</v>
      </c>
      <c r="CT38" s="18">
        <v>58</v>
      </c>
      <c r="CU38" s="18">
        <v>59</v>
      </c>
      <c r="CV38" s="18">
        <v>60</v>
      </c>
      <c r="CW38" s="18">
        <v>61</v>
      </c>
      <c r="CX38" s="18">
        <v>62</v>
      </c>
      <c r="CY38" s="18">
        <v>63</v>
      </c>
      <c r="CZ38" s="18">
        <v>64</v>
      </c>
      <c r="DA38" s="18">
        <v>65</v>
      </c>
      <c r="DB38" s="18">
        <v>66</v>
      </c>
      <c r="DC38" s="18">
        <v>67</v>
      </c>
      <c r="DD38" s="18">
        <v>68</v>
      </c>
      <c r="DE38" s="18">
        <v>69</v>
      </c>
      <c r="DF38" s="18">
        <v>70</v>
      </c>
      <c r="DG38" s="18">
        <v>71</v>
      </c>
      <c r="DH38" s="18">
        <v>72</v>
      </c>
      <c r="DI38" s="18">
        <v>73</v>
      </c>
      <c r="DJ38" s="18">
        <v>74</v>
      </c>
      <c r="DK38" s="18">
        <v>75</v>
      </c>
      <c r="DL38" s="18">
        <v>76</v>
      </c>
      <c r="DM38" s="18">
        <v>77</v>
      </c>
      <c r="DN38" s="18">
        <v>78</v>
      </c>
      <c r="DO38" s="18">
        <v>79</v>
      </c>
      <c r="DP38" s="18">
        <v>80</v>
      </c>
      <c r="DQ38" s="18">
        <v>81</v>
      </c>
      <c r="DR38" s="18">
        <v>82</v>
      </c>
      <c r="DS38" s="18">
        <v>83</v>
      </c>
      <c r="DT38" s="18">
        <v>84</v>
      </c>
      <c r="DU38" s="18">
        <v>85</v>
      </c>
      <c r="DV38" s="18">
        <v>86</v>
      </c>
      <c r="DW38" s="18">
        <v>87</v>
      </c>
      <c r="DX38" s="18">
        <v>88</v>
      </c>
      <c r="DY38" s="18">
        <v>89</v>
      </c>
      <c r="DZ38" s="18">
        <v>90</v>
      </c>
      <c r="EA38" s="18">
        <v>91</v>
      </c>
      <c r="EB38" s="18">
        <v>92</v>
      </c>
      <c r="EC38" s="18">
        <v>93</v>
      </c>
      <c r="ED38" s="18">
        <v>94</v>
      </c>
      <c r="EE38" s="18">
        <v>95</v>
      </c>
      <c r="EF38" s="18">
        <v>96</v>
      </c>
      <c r="EG38" s="18">
        <v>97</v>
      </c>
      <c r="EH38" s="18">
        <v>98</v>
      </c>
      <c r="EI38" s="18">
        <v>99</v>
      </c>
      <c r="EJ38" s="18">
        <v>100</v>
      </c>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1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row>
    <row r="39" spans="1:345" x14ac:dyDescent="0.35">
      <c r="A39" s="132"/>
      <c r="B39" s="27"/>
      <c r="C39" s="170"/>
      <c r="D39" s="170"/>
      <c r="E39" s="103"/>
      <c r="F39" s="104"/>
      <c r="G39" s="36" t="str">
        <f>IFERROR(VLOOKUP(E39, 'General Project Info'!$C$30:$I$40, 7, FALSE), "")</f>
        <v/>
      </c>
      <c r="H39" s="41">
        <f>IFERROR(X39*VLOOKUP(E39, 'General Project Info'!$R$30:$T$40, 3, FALSE), 0)</f>
        <v>0</v>
      </c>
      <c r="I39" s="42">
        <f>IFERROR(IF($T39="Yes", $X39*VLOOKUP($E39, 'General Project Info'!$R$30:$W$40, 5, FALSE), 0), 0)</f>
        <v>0</v>
      </c>
      <c r="J39" s="42">
        <f>IFERROR(IF($T39="No", $X39*VLOOKUP($E39, 'General Project Info'!$R$30:$W$40, 5, FALSE), 0), 0)</f>
        <v>0</v>
      </c>
      <c r="K39" s="106"/>
      <c r="L39" s="106"/>
      <c r="M39" s="107"/>
      <c r="N39" s="107"/>
      <c r="O39" s="107"/>
      <c r="P39" s="43">
        <f>IFERROR(IF(K39=AC39, 0, (AC39/K39*M39)*$Z$11^IF(AB39&lt;=0,0,AA39)), 0)</f>
        <v>0</v>
      </c>
      <c r="Q39" s="27"/>
      <c r="R39" s="132"/>
      <c r="T39" s="18" t="e">
        <f>VLOOKUP($E39, 'Unit Conversions Array'!$B$4:$Z$23, 25, FALSE)</f>
        <v>#N/A</v>
      </c>
      <c r="U39" s="18">
        <f>VLOOKUP(E39, 'General Project Info'!$R$30:$W$40, 6, FALSE)</f>
        <v>1</v>
      </c>
      <c r="V39" s="18">
        <f>IF(U39=$Z$12, H39*$X$10, (H39/($Z$12-U39))*(1-(U39/$Z$12)^$X$10))</f>
        <v>0</v>
      </c>
      <c r="W39" s="18">
        <f>IFERROR(F39*INDEX('Unit Conversions Array'!$E$4:$Y$23, MATCH('Scenarios &amp; Measures'!E39, 'Unit Conversions Array'!$B$4:$B$23, 0), MATCH('Scenarios &amp; Measures'!G39, 'Unit Conversions Array'!$E$3:$Y$3, 0)), 0)</f>
        <v>0</v>
      </c>
      <c r="X39" s="19">
        <f>W39/3.412</f>
        <v>0</v>
      </c>
      <c r="Y39" s="19">
        <f>I39</f>
        <v>0</v>
      </c>
      <c r="Z39" s="19">
        <f>J39</f>
        <v>0</v>
      </c>
      <c r="AA39" s="17">
        <f>IFERROR(ROUNDDOWN(($X$10-(K39-AD39))/K39, 0)*K39+(K39-AD39), 0)</f>
        <v>0</v>
      </c>
      <c r="AB39" s="17">
        <f>$X$10-AA39</f>
        <v>20</v>
      </c>
      <c r="AC39" s="17">
        <f>IF(AB39&lt;0, ABS(AB39), K39-AB39)</f>
        <v>-20</v>
      </c>
      <c r="AD39" s="17">
        <f>IF(L39&lt;=K39, L39, 0)</f>
        <v>0</v>
      </c>
      <c r="AE39" s="18">
        <f>IF($Z$11=$Z$12, O39*$X$10, (O39/($Z$12-$Z$11))*(1-($Z$11/$Z$12)^$X$10))*$Z$12</f>
        <v>0</v>
      </c>
      <c r="AF39" s="19">
        <f t="shared" ref="AF39:AF52" si="33">SUMPRODUCT($AN$11:$EJ$11,$AN$12:$EJ$12)*Y39/1000</f>
        <v>0</v>
      </c>
      <c r="AG39" s="12">
        <f t="shared" ref="AG39:AG52" si="34">SUMPRODUCT($AN$11:$EJ$11,$AN$12:$EJ$12)*Z39/1000</f>
        <v>0</v>
      </c>
      <c r="AH39" s="17">
        <f>IFERROR(SUMPRODUCT($AN$12:$EJ$12, AN39:EJ39), 0)</f>
        <v>0</v>
      </c>
      <c r="AI39" s="23">
        <f>IF($V$10="RECs", -Y39/VLOOKUP("RECs", 'General Project Info'!$R$30:$W$40, 5, FALSE)*$V$11*IF($X$11=$Z$12, $X$10, (1/($Z$12-$X$11))*(1-($X$11/$Z$12)^$X$10)*$Z$12), 0)</f>
        <v>0</v>
      </c>
      <c r="AJ39" s="17">
        <f>IF($V$10="Carbon Offset", IF($X$12=$Z$12,Y39*$V$12*$X$10, (Y39*$V$12)/($Z$12-$X$12)*(1-($X$12/$Z$12)^$X$10)*$Z$12), 0)</f>
        <v>0</v>
      </c>
      <c r="AK39" s="17">
        <f>IF($X$12=$Z$12,Z39*$V$12*$X$10, (Z39*$V$12)/($Z$12-$X$12)*(1-($X$12/$Z$12)^$X$10)*$Z$12)</f>
        <v>0</v>
      </c>
      <c r="AL39" s="17">
        <f>V39+AG39+AH39+AE39+AF39+AI39+AJ39+AK39-P39</f>
        <v>0</v>
      </c>
      <c r="AM39" s="20" t="s">
        <v>298</v>
      </c>
      <c r="AN39" s="12">
        <f>IFERROR(IF(AN$38&gt;=$X$10, 0, IF(MOD($AD39+AN$38, $K39)=0, (($M39-$N39)*$Z$11^AN$38), 0)), 0)</f>
        <v>0</v>
      </c>
      <c r="AO39" s="12">
        <f t="shared" ref="AO39:CZ40" si="35">IFERROR(IF(AO$38&gt;=$X$10, 0, IF(MOD($AD39+AO$38, $K39)=0, (($M39-$N39)*$Z$11^AO$38), 0)), 0)</f>
        <v>0</v>
      </c>
      <c r="AP39" s="12">
        <f t="shared" si="35"/>
        <v>0</v>
      </c>
      <c r="AQ39" s="12">
        <f t="shared" si="35"/>
        <v>0</v>
      </c>
      <c r="AR39" s="12">
        <f t="shared" si="35"/>
        <v>0</v>
      </c>
      <c r="AS39" s="12">
        <f t="shared" si="35"/>
        <v>0</v>
      </c>
      <c r="AT39" s="12">
        <f t="shared" si="35"/>
        <v>0</v>
      </c>
      <c r="AU39" s="12">
        <f t="shared" si="35"/>
        <v>0</v>
      </c>
      <c r="AV39" s="12">
        <f t="shared" si="35"/>
        <v>0</v>
      </c>
      <c r="AW39" s="12">
        <f t="shared" si="35"/>
        <v>0</v>
      </c>
      <c r="AX39" s="12">
        <f t="shared" si="35"/>
        <v>0</v>
      </c>
      <c r="AY39" s="12">
        <f t="shared" si="35"/>
        <v>0</v>
      </c>
      <c r="AZ39" s="12">
        <f t="shared" si="35"/>
        <v>0</v>
      </c>
      <c r="BA39" s="12">
        <f t="shared" si="35"/>
        <v>0</v>
      </c>
      <c r="BB39" s="12">
        <f t="shared" si="35"/>
        <v>0</v>
      </c>
      <c r="BC39" s="12">
        <f t="shared" si="35"/>
        <v>0</v>
      </c>
      <c r="BD39" s="12">
        <f t="shared" si="35"/>
        <v>0</v>
      </c>
      <c r="BE39" s="12">
        <f t="shared" si="35"/>
        <v>0</v>
      </c>
      <c r="BF39" s="12">
        <f t="shared" si="35"/>
        <v>0</v>
      </c>
      <c r="BG39" s="12">
        <f t="shared" si="35"/>
        <v>0</v>
      </c>
      <c r="BH39" s="12">
        <f t="shared" si="35"/>
        <v>0</v>
      </c>
      <c r="BI39" s="12">
        <f t="shared" si="35"/>
        <v>0</v>
      </c>
      <c r="BJ39" s="12">
        <f t="shared" si="35"/>
        <v>0</v>
      </c>
      <c r="BK39" s="12">
        <f t="shared" si="35"/>
        <v>0</v>
      </c>
      <c r="BL39" s="12">
        <f t="shared" si="35"/>
        <v>0</v>
      </c>
      <c r="BM39" s="12">
        <f t="shared" si="35"/>
        <v>0</v>
      </c>
      <c r="BN39" s="12">
        <f t="shared" si="35"/>
        <v>0</v>
      </c>
      <c r="BO39" s="12">
        <f t="shared" si="35"/>
        <v>0</v>
      </c>
      <c r="BP39" s="12">
        <f t="shared" si="35"/>
        <v>0</v>
      </c>
      <c r="BQ39" s="12">
        <f t="shared" si="35"/>
        <v>0</v>
      </c>
      <c r="BR39" s="12">
        <f t="shared" si="35"/>
        <v>0</v>
      </c>
      <c r="BS39" s="12">
        <f t="shared" si="35"/>
        <v>0</v>
      </c>
      <c r="BT39" s="12">
        <f t="shared" si="35"/>
        <v>0</v>
      </c>
      <c r="BU39" s="12">
        <f t="shared" si="35"/>
        <v>0</v>
      </c>
      <c r="BV39" s="12">
        <f t="shared" si="35"/>
        <v>0</v>
      </c>
      <c r="BW39" s="12">
        <f t="shared" si="35"/>
        <v>0</v>
      </c>
      <c r="BX39" s="12">
        <f t="shared" si="35"/>
        <v>0</v>
      </c>
      <c r="BY39" s="12">
        <f t="shared" si="35"/>
        <v>0</v>
      </c>
      <c r="BZ39" s="12">
        <f t="shared" si="35"/>
        <v>0</v>
      </c>
      <c r="CA39" s="12">
        <f t="shared" si="35"/>
        <v>0</v>
      </c>
      <c r="CB39" s="12">
        <f t="shared" si="35"/>
        <v>0</v>
      </c>
      <c r="CC39" s="12">
        <f t="shared" si="35"/>
        <v>0</v>
      </c>
      <c r="CD39" s="12">
        <f t="shared" si="35"/>
        <v>0</v>
      </c>
      <c r="CE39" s="12">
        <f t="shared" si="35"/>
        <v>0</v>
      </c>
      <c r="CF39" s="12">
        <f t="shared" si="35"/>
        <v>0</v>
      </c>
      <c r="CG39" s="12">
        <f t="shared" si="35"/>
        <v>0</v>
      </c>
      <c r="CH39" s="12">
        <f t="shared" si="35"/>
        <v>0</v>
      </c>
      <c r="CI39" s="12">
        <f t="shared" si="35"/>
        <v>0</v>
      </c>
      <c r="CJ39" s="12">
        <f t="shared" si="35"/>
        <v>0</v>
      </c>
      <c r="CK39" s="12">
        <f t="shared" si="35"/>
        <v>0</v>
      </c>
      <c r="CL39" s="12">
        <f t="shared" si="35"/>
        <v>0</v>
      </c>
      <c r="CM39" s="12">
        <f t="shared" si="35"/>
        <v>0</v>
      </c>
      <c r="CN39" s="12">
        <f t="shared" si="35"/>
        <v>0</v>
      </c>
      <c r="CO39" s="12">
        <f t="shared" si="35"/>
        <v>0</v>
      </c>
      <c r="CP39" s="12">
        <f t="shared" si="35"/>
        <v>0</v>
      </c>
      <c r="CQ39" s="12">
        <f t="shared" si="35"/>
        <v>0</v>
      </c>
      <c r="CR39" s="12">
        <f t="shared" si="35"/>
        <v>0</v>
      </c>
      <c r="CS39" s="12">
        <f t="shared" si="35"/>
        <v>0</v>
      </c>
      <c r="CT39" s="12">
        <f t="shared" si="35"/>
        <v>0</v>
      </c>
      <c r="CU39" s="12">
        <f t="shared" si="35"/>
        <v>0</v>
      </c>
      <c r="CV39" s="12">
        <f t="shared" si="35"/>
        <v>0</v>
      </c>
      <c r="CW39" s="12">
        <f t="shared" si="35"/>
        <v>0</v>
      </c>
      <c r="CX39" s="12">
        <f t="shared" si="35"/>
        <v>0</v>
      </c>
      <c r="CY39" s="12">
        <f t="shared" si="35"/>
        <v>0</v>
      </c>
      <c r="CZ39" s="12">
        <f t="shared" si="35"/>
        <v>0</v>
      </c>
      <c r="DA39" s="12">
        <f t="shared" ref="DA39:EJ43" si="36">IFERROR(IF(DA$38&gt;=$X$10, 0, IF(MOD($AD39+DA$38, $K39)=0, (($M39-$N39)*$Z$11^DA$38), 0)), 0)</f>
        <v>0</v>
      </c>
      <c r="DB39" s="12">
        <f t="shared" si="36"/>
        <v>0</v>
      </c>
      <c r="DC39" s="12">
        <f t="shared" si="36"/>
        <v>0</v>
      </c>
      <c r="DD39" s="12">
        <f t="shared" si="36"/>
        <v>0</v>
      </c>
      <c r="DE39" s="12">
        <f t="shared" si="36"/>
        <v>0</v>
      </c>
      <c r="DF39" s="12">
        <f t="shared" si="36"/>
        <v>0</v>
      </c>
      <c r="DG39" s="12">
        <f t="shared" si="36"/>
        <v>0</v>
      </c>
      <c r="DH39" s="12">
        <f t="shared" si="36"/>
        <v>0</v>
      </c>
      <c r="DI39" s="12">
        <f t="shared" si="36"/>
        <v>0</v>
      </c>
      <c r="DJ39" s="12">
        <f t="shared" si="36"/>
        <v>0</v>
      </c>
      <c r="DK39" s="12">
        <f t="shared" si="36"/>
        <v>0</v>
      </c>
      <c r="DL39" s="12">
        <f t="shared" si="36"/>
        <v>0</v>
      </c>
      <c r="DM39" s="12">
        <f t="shared" si="36"/>
        <v>0</v>
      </c>
      <c r="DN39" s="12">
        <f t="shared" si="36"/>
        <v>0</v>
      </c>
      <c r="DO39" s="12">
        <f t="shared" si="36"/>
        <v>0</v>
      </c>
      <c r="DP39" s="12">
        <f t="shared" si="36"/>
        <v>0</v>
      </c>
      <c r="DQ39" s="12">
        <f t="shared" si="36"/>
        <v>0</v>
      </c>
      <c r="DR39" s="12">
        <f t="shared" si="36"/>
        <v>0</v>
      </c>
      <c r="DS39" s="12">
        <f t="shared" si="36"/>
        <v>0</v>
      </c>
      <c r="DT39" s="12">
        <f t="shared" si="36"/>
        <v>0</v>
      </c>
      <c r="DU39" s="12">
        <f t="shared" si="36"/>
        <v>0</v>
      </c>
      <c r="DV39" s="12">
        <f t="shared" si="36"/>
        <v>0</v>
      </c>
      <c r="DW39" s="12">
        <f t="shared" si="36"/>
        <v>0</v>
      </c>
      <c r="DX39" s="12">
        <f t="shared" si="36"/>
        <v>0</v>
      </c>
      <c r="DY39" s="12">
        <f t="shared" si="36"/>
        <v>0</v>
      </c>
      <c r="DZ39" s="12">
        <f t="shared" si="36"/>
        <v>0</v>
      </c>
      <c r="EA39" s="12">
        <f t="shared" si="36"/>
        <v>0</v>
      </c>
      <c r="EB39" s="12">
        <f t="shared" si="36"/>
        <v>0</v>
      </c>
      <c r="EC39" s="12">
        <f t="shared" si="36"/>
        <v>0</v>
      </c>
      <c r="ED39" s="12">
        <f t="shared" si="36"/>
        <v>0</v>
      </c>
      <c r="EE39" s="12">
        <f t="shared" si="36"/>
        <v>0</v>
      </c>
      <c r="EF39" s="12">
        <f t="shared" si="36"/>
        <v>0</v>
      </c>
      <c r="EG39" s="12">
        <f t="shared" si="36"/>
        <v>0</v>
      </c>
      <c r="EH39" s="12">
        <f t="shared" si="36"/>
        <v>0</v>
      </c>
      <c r="EI39" s="12">
        <f t="shared" si="36"/>
        <v>0</v>
      </c>
      <c r="EJ39" s="12">
        <f t="shared" si="36"/>
        <v>0</v>
      </c>
      <c r="EK39" s="20"/>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6"/>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row>
    <row r="40" spans="1:345" x14ac:dyDescent="0.35">
      <c r="A40" s="132"/>
      <c r="B40" s="27"/>
      <c r="C40" s="170"/>
      <c r="D40" s="170"/>
      <c r="E40" s="103"/>
      <c r="F40" s="105"/>
      <c r="G40" s="36" t="str">
        <f>IFERROR(VLOOKUP(E40, 'General Project Info'!$C$30:$I$40, 7, FALSE), "")</f>
        <v/>
      </c>
      <c r="H40" s="41">
        <f>IFERROR(X40*VLOOKUP(E40, 'General Project Info'!$R$30:$T$40, 3, FALSE), 0)</f>
        <v>0</v>
      </c>
      <c r="I40" s="42">
        <f>IFERROR(IF($T40="Yes", $X40*VLOOKUP($E40, 'General Project Info'!$R$30:$W$40, 5, FALSE), 0), 0)</f>
        <v>0</v>
      </c>
      <c r="J40" s="42">
        <f>IFERROR(IF($T40="No", $X40*VLOOKUP($E40, 'General Project Info'!$R$30:$W$40, 5, FALSE), 0), 0)</f>
        <v>0</v>
      </c>
      <c r="K40" s="108"/>
      <c r="L40" s="108"/>
      <c r="M40" s="109"/>
      <c r="N40" s="109"/>
      <c r="O40" s="109"/>
      <c r="P40" s="43">
        <f t="shared" ref="P40:P52" si="37">IFERROR(IF(K40=AC40, 0, (AC40/K40*M40)*$Z$11^IF(AB40&lt;=0,0,AA40)), 0)</f>
        <v>0</v>
      </c>
      <c r="Q40" s="27"/>
      <c r="R40" s="132"/>
      <c r="T40" s="18" t="e">
        <f>VLOOKUP($E40, 'Unit Conversions Array'!$B$4:$Z$23, 25, FALSE)</f>
        <v>#N/A</v>
      </c>
      <c r="U40">
        <f>VLOOKUP(E40, 'General Project Info'!$R$30:$W$40, 6, FALSE)</f>
        <v>1</v>
      </c>
      <c r="V40" s="18">
        <f t="shared" ref="V40:V52" si="38">IF(U40=$Z$12, H40*$X$10, (H40/($Z$12-U40))*(1-(U40/$Z$12)^$X$10))</f>
        <v>0</v>
      </c>
      <c r="W40" s="18">
        <f>IFERROR(F40*INDEX('Unit Conversions Array'!$E$4:$Y$23, MATCH('Scenarios &amp; Measures'!E40, 'Unit Conversions Array'!$B$4:$B$23, 0), MATCH('Scenarios &amp; Measures'!G40, 'Unit Conversions Array'!$E$3:$Y$3, 0)), 0)</f>
        <v>0</v>
      </c>
      <c r="X40" s="19">
        <f t="shared" ref="X40:X52" si="39">W40/3.412</f>
        <v>0</v>
      </c>
      <c r="Y40" s="19">
        <f t="shared" ref="Y40:Y52" si="40">I40</f>
        <v>0</v>
      </c>
      <c r="Z40" s="19">
        <f t="shared" ref="Z40:Z52" si="41">J40</f>
        <v>0</v>
      </c>
      <c r="AA40" s="17">
        <f>IFERROR(ROUNDDOWN(($X$10-(K40-AD40))/K40, 0)*K40+(K40-AD40), 0)</f>
        <v>0</v>
      </c>
      <c r="AB40" s="17">
        <f t="shared" ref="AB40:AB52" si="42">$X$10-AA40</f>
        <v>20</v>
      </c>
      <c r="AC40" s="17">
        <f t="shared" ref="AC40:AC52" si="43">IF(AB40&lt;0, ABS(AB40), K40-AB40)</f>
        <v>-20</v>
      </c>
      <c r="AD40" s="17">
        <f t="shared" ref="AD40:AD52" si="44">IF(L40&lt;=K40, L40, 0)</f>
        <v>0</v>
      </c>
      <c r="AE40" s="18">
        <f t="shared" ref="AE40:AE52" si="45">IF($Z$11=$Z$12, O40*$X$10, (O40/($Z$12-$Z$11))*(1-($Z$11/$Z$12)^$X$10))*$Z$12</f>
        <v>0</v>
      </c>
      <c r="AF40" s="19">
        <f t="shared" si="33"/>
        <v>0</v>
      </c>
      <c r="AG40" s="12">
        <f t="shared" si="34"/>
        <v>0</v>
      </c>
      <c r="AH40" s="17">
        <f t="shared" ref="AH40:AH52" si="46">IFERROR(SUMPRODUCT($AN$12:$EJ$12, AN40:EJ40), 0)</f>
        <v>0</v>
      </c>
      <c r="AI40" s="23">
        <f>IF($V$10="RECs", -Y40/VLOOKUP("RECs", 'General Project Info'!$R$30:$W$40, 5, FALSE)*$V$11*IF($X$11=$Z$12, $X$10, (1/($Z$12-$X$11))*(1-($X$11/$Z$12)^$X$10)*$Z$12), 0)</f>
        <v>0</v>
      </c>
      <c r="AJ40" s="17">
        <f t="shared" ref="AJ40:AJ52" si="47">IF($V$10="Carbon Offset", IF($X$12=$Z$12,Y40*$V$12*$X$10, (Y40*$V$12)/($Z$12-$X$12)*(1-($X$12/$Z$12)^$X$10)*$Z$12), 0)</f>
        <v>0</v>
      </c>
      <c r="AK40" s="17">
        <f t="shared" ref="AK40:AK52" si="48">IF($X$12=$Z$12,Z40*$V$12*$X$10, (Z40*$V$12)/($Z$12-$X$12)*(1-($X$12/$Z$12)^$X$10)*$Z$12)</f>
        <v>0</v>
      </c>
      <c r="AL40" s="17">
        <f t="shared" ref="AL40:AL52" si="49">V40+AG40+AH40+AE40+AF40+AI40+AJ40+AK40-P40</f>
        <v>0</v>
      </c>
      <c r="AM40" s="16"/>
      <c r="AN40" s="12">
        <f t="shared" ref="AN40:BC52" si="50">IFERROR(IF(AN$38&gt;=$X$10, 0, IF(MOD($AD40+AN$38, $K40)=0, (($M40-$N40)*$Z$11^AN$38), 0)), 0)</f>
        <v>0</v>
      </c>
      <c r="AO40" s="12">
        <f t="shared" si="50"/>
        <v>0</v>
      </c>
      <c r="AP40" s="12">
        <f t="shared" si="50"/>
        <v>0</v>
      </c>
      <c r="AQ40" s="12">
        <f t="shared" si="50"/>
        <v>0</v>
      </c>
      <c r="AR40" s="12">
        <f t="shared" si="50"/>
        <v>0</v>
      </c>
      <c r="AS40" s="12">
        <f t="shared" si="50"/>
        <v>0</v>
      </c>
      <c r="AT40" s="12">
        <f t="shared" si="50"/>
        <v>0</v>
      </c>
      <c r="AU40" s="12">
        <f t="shared" si="50"/>
        <v>0</v>
      </c>
      <c r="AV40" s="12">
        <f t="shared" si="50"/>
        <v>0</v>
      </c>
      <c r="AW40" s="12">
        <f t="shared" si="50"/>
        <v>0</v>
      </c>
      <c r="AX40" s="12">
        <f t="shared" si="50"/>
        <v>0</v>
      </c>
      <c r="AY40" s="12">
        <f t="shared" si="50"/>
        <v>0</v>
      </c>
      <c r="AZ40" s="12">
        <f t="shared" si="50"/>
        <v>0</v>
      </c>
      <c r="BA40" s="12">
        <f t="shared" si="50"/>
        <v>0</v>
      </c>
      <c r="BB40" s="12">
        <f t="shared" si="50"/>
        <v>0</v>
      </c>
      <c r="BC40" s="12">
        <f t="shared" si="50"/>
        <v>0</v>
      </c>
      <c r="BD40" s="12">
        <f t="shared" si="35"/>
        <v>0</v>
      </c>
      <c r="BE40" s="12">
        <f t="shared" si="35"/>
        <v>0</v>
      </c>
      <c r="BF40" s="12">
        <f t="shared" si="35"/>
        <v>0</v>
      </c>
      <c r="BG40" s="12">
        <f t="shared" si="35"/>
        <v>0</v>
      </c>
      <c r="BH40" s="12">
        <f t="shared" si="35"/>
        <v>0</v>
      </c>
      <c r="BI40" s="12">
        <f t="shared" si="35"/>
        <v>0</v>
      </c>
      <c r="BJ40" s="12">
        <f t="shared" si="35"/>
        <v>0</v>
      </c>
      <c r="BK40" s="12">
        <f t="shared" si="35"/>
        <v>0</v>
      </c>
      <c r="BL40" s="12">
        <f t="shared" si="35"/>
        <v>0</v>
      </c>
      <c r="BM40" s="12">
        <f t="shared" si="35"/>
        <v>0</v>
      </c>
      <c r="BN40" s="12">
        <f t="shared" si="35"/>
        <v>0</v>
      </c>
      <c r="BO40" s="12">
        <f t="shared" si="35"/>
        <v>0</v>
      </c>
      <c r="BP40" s="12">
        <f t="shared" si="35"/>
        <v>0</v>
      </c>
      <c r="BQ40" s="12">
        <f t="shared" si="35"/>
        <v>0</v>
      </c>
      <c r="BR40" s="12">
        <f t="shared" si="35"/>
        <v>0</v>
      </c>
      <c r="BS40" s="12">
        <f t="shared" si="35"/>
        <v>0</v>
      </c>
      <c r="BT40" s="12">
        <f t="shared" si="35"/>
        <v>0</v>
      </c>
      <c r="BU40" s="12">
        <f t="shared" si="35"/>
        <v>0</v>
      </c>
      <c r="BV40" s="12">
        <f t="shared" si="35"/>
        <v>0</v>
      </c>
      <c r="BW40" s="12">
        <f t="shared" si="35"/>
        <v>0</v>
      </c>
      <c r="BX40" s="12">
        <f t="shared" si="35"/>
        <v>0</v>
      </c>
      <c r="BY40" s="12">
        <f t="shared" si="35"/>
        <v>0</v>
      </c>
      <c r="BZ40" s="12">
        <f t="shared" si="35"/>
        <v>0</v>
      </c>
      <c r="CA40" s="12">
        <f t="shared" si="35"/>
        <v>0</v>
      </c>
      <c r="CB40" s="12">
        <f t="shared" si="35"/>
        <v>0</v>
      </c>
      <c r="CC40" s="12">
        <f t="shared" si="35"/>
        <v>0</v>
      </c>
      <c r="CD40" s="12">
        <f t="shared" si="35"/>
        <v>0</v>
      </c>
      <c r="CE40" s="12">
        <f t="shared" si="35"/>
        <v>0</v>
      </c>
      <c r="CF40" s="12">
        <f t="shared" si="35"/>
        <v>0</v>
      </c>
      <c r="CG40" s="12">
        <f t="shared" si="35"/>
        <v>0</v>
      </c>
      <c r="CH40" s="12">
        <f t="shared" si="35"/>
        <v>0</v>
      </c>
      <c r="CI40" s="12">
        <f t="shared" si="35"/>
        <v>0</v>
      </c>
      <c r="CJ40" s="12">
        <f t="shared" si="35"/>
        <v>0</v>
      </c>
      <c r="CK40" s="12">
        <f t="shared" si="35"/>
        <v>0</v>
      </c>
      <c r="CL40" s="12">
        <f t="shared" si="35"/>
        <v>0</v>
      </c>
      <c r="CM40" s="12">
        <f t="shared" si="35"/>
        <v>0</v>
      </c>
      <c r="CN40" s="12">
        <f t="shared" si="35"/>
        <v>0</v>
      </c>
      <c r="CO40" s="12">
        <f t="shared" si="35"/>
        <v>0</v>
      </c>
      <c r="CP40" s="12">
        <f t="shared" si="35"/>
        <v>0</v>
      </c>
      <c r="CQ40" s="12">
        <f t="shared" si="35"/>
        <v>0</v>
      </c>
      <c r="CR40" s="12">
        <f t="shared" si="35"/>
        <v>0</v>
      </c>
      <c r="CS40" s="12">
        <f t="shared" si="35"/>
        <v>0</v>
      </c>
      <c r="CT40" s="12">
        <f t="shared" si="35"/>
        <v>0</v>
      </c>
      <c r="CU40" s="12">
        <f t="shared" si="35"/>
        <v>0</v>
      </c>
      <c r="CV40" s="12">
        <f t="shared" si="35"/>
        <v>0</v>
      </c>
      <c r="CW40" s="12">
        <f t="shared" si="35"/>
        <v>0</v>
      </c>
      <c r="CX40" s="12">
        <f t="shared" si="35"/>
        <v>0</v>
      </c>
      <c r="CY40" s="12">
        <f t="shared" si="35"/>
        <v>0</v>
      </c>
      <c r="CZ40" s="12">
        <f t="shared" si="35"/>
        <v>0</v>
      </c>
      <c r="DA40" s="12">
        <f t="shared" si="36"/>
        <v>0</v>
      </c>
      <c r="DB40" s="12">
        <f t="shared" si="36"/>
        <v>0</v>
      </c>
      <c r="DC40" s="12">
        <f t="shared" si="36"/>
        <v>0</v>
      </c>
      <c r="DD40" s="12">
        <f t="shared" si="36"/>
        <v>0</v>
      </c>
      <c r="DE40" s="12">
        <f t="shared" si="36"/>
        <v>0</v>
      </c>
      <c r="DF40" s="12">
        <f t="shared" si="36"/>
        <v>0</v>
      </c>
      <c r="DG40" s="12">
        <f t="shared" si="36"/>
        <v>0</v>
      </c>
      <c r="DH40" s="12">
        <f t="shared" si="36"/>
        <v>0</v>
      </c>
      <c r="DI40" s="12">
        <f t="shared" si="36"/>
        <v>0</v>
      </c>
      <c r="DJ40" s="12">
        <f t="shared" si="36"/>
        <v>0</v>
      </c>
      <c r="DK40" s="12">
        <f t="shared" si="36"/>
        <v>0</v>
      </c>
      <c r="DL40" s="12">
        <f t="shared" si="36"/>
        <v>0</v>
      </c>
      <c r="DM40" s="12">
        <f t="shared" si="36"/>
        <v>0</v>
      </c>
      <c r="DN40" s="12">
        <f t="shared" si="36"/>
        <v>0</v>
      </c>
      <c r="DO40" s="12">
        <f t="shared" si="36"/>
        <v>0</v>
      </c>
      <c r="DP40" s="12">
        <f t="shared" si="36"/>
        <v>0</v>
      </c>
      <c r="DQ40" s="12">
        <f t="shared" si="36"/>
        <v>0</v>
      </c>
      <c r="DR40" s="12">
        <f t="shared" si="36"/>
        <v>0</v>
      </c>
      <c r="DS40" s="12">
        <f t="shared" si="36"/>
        <v>0</v>
      </c>
      <c r="DT40" s="12">
        <f t="shared" si="36"/>
        <v>0</v>
      </c>
      <c r="DU40" s="12">
        <f t="shared" si="36"/>
        <v>0</v>
      </c>
      <c r="DV40" s="12">
        <f t="shared" si="36"/>
        <v>0</v>
      </c>
      <c r="DW40" s="12">
        <f t="shared" si="36"/>
        <v>0</v>
      </c>
      <c r="DX40" s="12">
        <f t="shared" si="36"/>
        <v>0</v>
      </c>
      <c r="DY40" s="12">
        <f t="shared" si="36"/>
        <v>0</v>
      </c>
      <c r="DZ40" s="12">
        <f t="shared" si="36"/>
        <v>0</v>
      </c>
      <c r="EA40" s="12">
        <f t="shared" si="36"/>
        <v>0</v>
      </c>
      <c r="EB40" s="12">
        <f t="shared" si="36"/>
        <v>0</v>
      </c>
      <c r="EC40" s="12">
        <f t="shared" si="36"/>
        <v>0</v>
      </c>
      <c r="ED40" s="12">
        <f t="shared" si="36"/>
        <v>0</v>
      </c>
      <c r="EE40" s="12">
        <f t="shared" si="36"/>
        <v>0</v>
      </c>
      <c r="EF40" s="12">
        <f t="shared" si="36"/>
        <v>0</v>
      </c>
      <c r="EG40" s="12">
        <f t="shared" si="36"/>
        <v>0</v>
      </c>
      <c r="EH40" s="12">
        <f t="shared" si="36"/>
        <v>0</v>
      </c>
      <c r="EI40" s="12">
        <f t="shared" si="36"/>
        <v>0</v>
      </c>
      <c r="EJ40" s="12">
        <f t="shared" si="36"/>
        <v>0</v>
      </c>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row>
    <row r="41" spans="1:345" x14ac:dyDescent="0.35">
      <c r="A41" s="132"/>
      <c r="B41" s="27"/>
      <c r="C41" s="170"/>
      <c r="D41" s="170"/>
      <c r="E41" s="103"/>
      <c r="F41" s="105"/>
      <c r="G41" s="36" t="str">
        <f>IFERROR(VLOOKUP(E41, 'General Project Info'!$C$30:$I$40, 7, FALSE), "")</f>
        <v/>
      </c>
      <c r="H41" s="41">
        <f>IFERROR(X41*VLOOKUP(E41, 'General Project Info'!$R$30:$T$40, 3, FALSE), 0)</f>
        <v>0</v>
      </c>
      <c r="I41" s="42">
        <f>IFERROR(IF($T41="Yes", $X41*VLOOKUP($E41, 'General Project Info'!$R$30:$W$40, 5, FALSE), 0), 0)</f>
        <v>0</v>
      </c>
      <c r="J41" s="42">
        <f>IFERROR(IF($T41="No", $X41*VLOOKUP($E41, 'General Project Info'!$R$30:$W$40, 5, FALSE), 0), 0)</f>
        <v>0</v>
      </c>
      <c r="K41" s="108"/>
      <c r="L41" s="108"/>
      <c r="M41" s="109"/>
      <c r="N41" s="109"/>
      <c r="O41" s="109"/>
      <c r="P41" s="43">
        <f t="shared" si="37"/>
        <v>0</v>
      </c>
      <c r="Q41" s="27"/>
      <c r="R41" s="132"/>
      <c r="T41" s="18" t="e">
        <f>VLOOKUP($E41, 'Unit Conversions Array'!$B$4:$Z$23, 25, FALSE)</f>
        <v>#N/A</v>
      </c>
      <c r="U41">
        <f>VLOOKUP(E41, 'General Project Info'!$R$30:$W$40, 6, FALSE)</f>
        <v>1</v>
      </c>
      <c r="V41" s="18">
        <f t="shared" si="38"/>
        <v>0</v>
      </c>
      <c r="W41" s="18">
        <f>IFERROR(F41*INDEX('Unit Conversions Array'!$E$4:$Y$23, MATCH('Scenarios &amp; Measures'!E41, 'Unit Conversions Array'!$B$4:$B$23, 0), MATCH('Scenarios &amp; Measures'!G41, 'Unit Conversions Array'!$E$3:$Y$3, 0)), 0)</f>
        <v>0</v>
      </c>
      <c r="X41" s="19">
        <f t="shared" si="39"/>
        <v>0</v>
      </c>
      <c r="Y41" s="19">
        <f t="shared" si="40"/>
        <v>0</v>
      </c>
      <c r="Z41" s="19">
        <f t="shared" si="41"/>
        <v>0</v>
      </c>
      <c r="AA41" s="17">
        <f>IFERROR(ROUNDDOWN(($X$10-(K41-AD41))/K41, 0)*K41+(K41-AD41), 0)</f>
        <v>0</v>
      </c>
      <c r="AB41" s="17">
        <f t="shared" si="42"/>
        <v>20</v>
      </c>
      <c r="AC41" s="17">
        <f t="shared" si="43"/>
        <v>-20</v>
      </c>
      <c r="AD41" s="17">
        <f t="shared" si="44"/>
        <v>0</v>
      </c>
      <c r="AE41" s="18">
        <f t="shared" si="45"/>
        <v>0</v>
      </c>
      <c r="AF41" s="19">
        <f t="shared" si="33"/>
        <v>0</v>
      </c>
      <c r="AG41" s="12">
        <f t="shared" si="34"/>
        <v>0</v>
      </c>
      <c r="AH41" s="17">
        <f t="shared" si="46"/>
        <v>0</v>
      </c>
      <c r="AI41" s="23">
        <f>IF($V$10="RECs", -Y41/VLOOKUP("RECs", 'General Project Info'!$R$30:$W$40, 5, FALSE)*$V$11*IF($X$11=$Z$12, $X$10, (1/($Z$12-$X$11))*(1-($X$11/$Z$12)^$X$10)*$Z$12), 0)</f>
        <v>0</v>
      </c>
      <c r="AJ41" s="17">
        <f t="shared" si="47"/>
        <v>0</v>
      </c>
      <c r="AK41" s="17">
        <f t="shared" si="48"/>
        <v>0</v>
      </c>
      <c r="AL41" s="17">
        <f t="shared" si="49"/>
        <v>0</v>
      </c>
      <c r="AN41" s="12">
        <f t="shared" si="50"/>
        <v>0</v>
      </c>
      <c r="AO41" s="12">
        <f t="shared" ref="AO41:CZ44" si="51">IFERROR(IF(AO$38&gt;=$X$10, 0, IF(MOD($AD41+AO$38, $K41)=0, (($M41-$N41)*$Z$11^AO$38), 0)), 0)</f>
        <v>0</v>
      </c>
      <c r="AP41" s="12">
        <f t="shared" si="51"/>
        <v>0</v>
      </c>
      <c r="AQ41" s="12">
        <f t="shared" si="51"/>
        <v>0</v>
      </c>
      <c r="AR41" s="12">
        <f t="shared" si="51"/>
        <v>0</v>
      </c>
      <c r="AS41" s="12">
        <f t="shared" si="51"/>
        <v>0</v>
      </c>
      <c r="AT41" s="12">
        <f t="shared" si="51"/>
        <v>0</v>
      </c>
      <c r="AU41" s="12">
        <f t="shared" si="51"/>
        <v>0</v>
      </c>
      <c r="AV41" s="12">
        <f t="shared" si="51"/>
        <v>0</v>
      </c>
      <c r="AW41" s="12">
        <f t="shared" si="51"/>
        <v>0</v>
      </c>
      <c r="AX41" s="12">
        <f t="shared" si="51"/>
        <v>0</v>
      </c>
      <c r="AY41" s="12">
        <f t="shared" si="51"/>
        <v>0</v>
      </c>
      <c r="AZ41" s="12">
        <f t="shared" si="51"/>
        <v>0</v>
      </c>
      <c r="BA41" s="12">
        <f t="shared" si="51"/>
        <v>0</v>
      </c>
      <c r="BB41" s="12">
        <f t="shared" si="51"/>
        <v>0</v>
      </c>
      <c r="BC41" s="12">
        <f t="shared" si="51"/>
        <v>0</v>
      </c>
      <c r="BD41" s="12">
        <f t="shared" si="51"/>
        <v>0</v>
      </c>
      <c r="BE41" s="12">
        <f t="shared" si="51"/>
        <v>0</v>
      </c>
      <c r="BF41" s="12">
        <f t="shared" si="51"/>
        <v>0</v>
      </c>
      <c r="BG41" s="12">
        <f t="shared" si="51"/>
        <v>0</v>
      </c>
      <c r="BH41" s="12">
        <f t="shared" si="51"/>
        <v>0</v>
      </c>
      <c r="BI41" s="12">
        <f t="shared" si="51"/>
        <v>0</v>
      </c>
      <c r="BJ41" s="12">
        <f t="shared" si="51"/>
        <v>0</v>
      </c>
      <c r="BK41" s="12">
        <f t="shared" si="51"/>
        <v>0</v>
      </c>
      <c r="BL41" s="12">
        <f t="shared" si="51"/>
        <v>0</v>
      </c>
      <c r="BM41" s="12">
        <f t="shared" si="51"/>
        <v>0</v>
      </c>
      <c r="BN41" s="12">
        <f t="shared" si="51"/>
        <v>0</v>
      </c>
      <c r="BO41" s="12">
        <f t="shared" si="51"/>
        <v>0</v>
      </c>
      <c r="BP41" s="12">
        <f t="shared" si="51"/>
        <v>0</v>
      </c>
      <c r="BQ41" s="12">
        <f t="shared" si="51"/>
        <v>0</v>
      </c>
      <c r="BR41" s="12">
        <f t="shared" si="51"/>
        <v>0</v>
      </c>
      <c r="BS41" s="12">
        <f t="shared" si="51"/>
        <v>0</v>
      </c>
      <c r="BT41" s="12">
        <f t="shared" si="51"/>
        <v>0</v>
      </c>
      <c r="BU41" s="12">
        <f t="shared" si="51"/>
        <v>0</v>
      </c>
      <c r="BV41" s="12">
        <f t="shared" si="51"/>
        <v>0</v>
      </c>
      <c r="BW41" s="12">
        <f t="shared" si="51"/>
        <v>0</v>
      </c>
      <c r="BX41" s="12">
        <f t="shared" si="51"/>
        <v>0</v>
      </c>
      <c r="BY41" s="12">
        <f t="shared" si="51"/>
        <v>0</v>
      </c>
      <c r="BZ41" s="12">
        <f t="shared" si="51"/>
        <v>0</v>
      </c>
      <c r="CA41" s="12">
        <f t="shared" si="51"/>
        <v>0</v>
      </c>
      <c r="CB41" s="12">
        <f t="shared" si="51"/>
        <v>0</v>
      </c>
      <c r="CC41" s="12">
        <f t="shared" si="51"/>
        <v>0</v>
      </c>
      <c r="CD41" s="12">
        <f t="shared" si="51"/>
        <v>0</v>
      </c>
      <c r="CE41" s="12">
        <f t="shared" si="51"/>
        <v>0</v>
      </c>
      <c r="CF41" s="12">
        <f t="shared" si="51"/>
        <v>0</v>
      </c>
      <c r="CG41" s="12">
        <f t="shared" si="51"/>
        <v>0</v>
      </c>
      <c r="CH41" s="12">
        <f t="shared" si="51"/>
        <v>0</v>
      </c>
      <c r="CI41" s="12">
        <f t="shared" si="51"/>
        <v>0</v>
      </c>
      <c r="CJ41" s="12">
        <f t="shared" si="51"/>
        <v>0</v>
      </c>
      <c r="CK41" s="12">
        <f t="shared" si="51"/>
        <v>0</v>
      </c>
      <c r="CL41" s="12">
        <f t="shared" si="51"/>
        <v>0</v>
      </c>
      <c r="CM41" s="12">
        <f t="shared" si="51"/>
        <v>0</v>
      </c>
      <c r="CN41" s="12">
        <f t="shared" si="51"/>
        <v>0</v>
      </c>
      <c r="CO41" s="12">
        <f t="shared" si="51"/>
        <v>0</v>
      </c>
      <c r="CP41" s="12">
        <f t="shared" si="51"/>
        <v>0</v>
      </c>
      <c r="CQ41" s="12">
        <f t="shared" si="51"/>
        <v>0</v>
      </c>
      <c r="CR41" s="12">
        <f t="shared" si="51"/>
        <v>0</v>
      </c>
      <c r="CS41" s="12">
        <f t="shared" si="51"/>
        <v>0</v>
      </c>
      <c r="CT41" s="12">
        <f t="shared" si="51"/>
        <v>0</v>
      </c>
      <c r="CU41" s="12">
        <f t="shared" si="51"/>
        <v>0</v>
      </c>
      <c r="CV41" s="12">
        <f t="shared" si="51"/>
        <v>0</v>
      </c>
      <c r="CW41" s="12">
        <f t="shared" si="51"/>
        <v>0</v>
      </c>
      <c r="CX41" s="12">
        <f t="shared" si="51"/>
        <v>0</v>
      </c>
      <c r="CY41" s="12">
        <f t="shared" si="51"/>
        <v>0</v>
      </c>
      <c r="CZ41" s="12">
        <f t="shared" si="51"/>
        <v>0</v>
      </c>
      <c r="DA41" s="12">
        <f t="shared" si="36"/>
        <v>0</v>
      </c>
      <c r="DB41" s="12">
        <f t="shared" si="36"/>
        <v>0</v>
      </c>
      <c r="DC41" s="12">
        <f t="shared" si="36"/>
        <v>0</v>
      </c>
      <c r="DD41" s="12">
        <f t="shared" si="36"/>
        <v>0</v>
      </c>
      <c r="DE41" s="12">
        <f t="shared" si="36"/>
        <v>0</v>
      </c>
      <c r="DF41" s="12">
        <f t="shared" si="36"/>
        <v>0</v>
      </c>
      <c r="DG41" s="12">
        <f t="shared" si="36"/>
        <v>0</v>
      </c>
      <c r="DH41" s="12">
        <f t="shared" si="36"/>
        <v>0</v>
      </c>
      <c r="DI41" s="12">
        <f t="shared" si="36"/>
        <v>0</v>
      </c>
      <c r="DJ41" s="12">
        <f t="shared" si="36"/>
        <v>0</v>
      </c>
      <c r="DK41" s="12">
        <f t="shared" si="36"/>
        <v>0</v>
      </c>
      <c r="DL41" s="12">
        <f t="shared" si="36"/>
        <v>0</v>
      </c>
      <c r="DM41" s="12">
        <f t="shared" si="36"/>
        <v>0</v>
      </c>
      <c r="DN41" s="12">
        <f t="shared" si="36"/>
        <v>0</v>
      </c>
      <c r="DO41" s="12">
        <f t="shared" si="36"/>
        <v>0</v>
      </c>
      <c r="DP41" s="12">
        <f t="shared" si="36"/>
        <v>0</v>
      </c>
      <c r="DQ41" s="12">
        <f t="shared" si="36"/>
        <v>0</v>
      </c>
      <c r="DR41" s="12">
        <f t="shared" si="36"/>
        <v>0</v>
      </c>
      <c r="DS41" s="12">
        <f t="shared" si="36"/>
        <v>0</v>
      </c>
      <c r="DT41" s="12">
        <f t="shared" si="36"/>
        <v>0</v>
      </c>
      <c r="DU41" s="12">
        <f t="shared" si="36"/>
        <v>0</v>
      </c>
      <c r="DV41" s="12">
        <f t="shared" si="36"/>
        <v>0</v>
      </c>
      <c r="DW41" s="12">
        <f t="shared" si="36"/>
        <v>0</v>
      </c>
      <c r="DX41" s="12">
        <f t="shared" si="36"/>
        <v>0</v>
      </c>
      <c r="DY41" s="12">
        <f t="shared" si="36"/>
        <v>0</v>
      </c>
      <c r="DZ41" s="12">
        <f t="shared" si="36"/>
        <v>0</v>
      </c>
      <c r="EA41" s="12">
        <f t="shared" si="36"/>
        <v>0</v>
      </c>
      <c r="EB41" s="12">
        <f t="shared" si="36"/>
        <v>0</v>
      </c>
      <c r="EC41" s="12">
        <f t="shared" si="36"/>
        <v>0</v>
      </c>
      <c r="ED41" s="12">
        <f t="shared" si="36"/>
        <v>0</v>
      </c>
      <c r="EE41" s="12">
        <f t="shared" si="36"/>
        <v>0</v>
      </c>
      <c r="EF41" s="12">
        <f t="shared" si="36"/>
        <v>0</v>
      </c>
      <c r="EG41" s="12">
        <f t="shared" si="36"/>
        <v>0</v>
      </c>
      <c r="EH41" s="12">
        <f t="shared" si="36"/>
        <v>0</v>
      </c>
      <c r="EI41" s="12">
        <f t="shared" si="36"/>
        <v>0</v>
      </c>
      <c r="EJ41" s="12">
        <f t="shared" si="36"/>
        <v>0</v>
      </c>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row>
    <row r="42" spans="1:345" x14ac:dyDescent="0.35">
      <c r="A42" s="132"/>
      <c r="B42" s="27"/>
      <c r="C42" s="170"/>
      <c r="D42" s="170"/>
      <c r="E42" s="103"/>
      <c r="F42" s="105"/>
      <c r="G42" s="36" t="str">
        <f>IFERROR(VLOOKUP(E42, 'General Project Info'!$C$30:$I$40, 7, FALSE), "")</f>
        <v/>
      </c>
      <c r="H42" s="41">
        <f>IFERROR(X42*VLOOKUP(E42, 'General Project Info'!$R$30:$T$40, 3, FALSE), 0)</f>
        <v>0</v>
      </c>
      <c r="I42" s="42">
        <f>IFERROR(IF($T42="Yes", $X42*VLOOKUP($E42, 'General Project Info'!$R$30:$W$40, 5, FALSE), 0), 0)</f>
        <v>0</v>
      </c>
      <c r="J42" s="42">
        <f>IFERROR(IF($T42="No", $X42*VLOOKUP($E42, 'General Project Info'!$R$30:$W$40, 5, FALSE), 0), 0)</f>
        <v>0</v>
      </c>
      <c r="K42" s="108"/>
      <c r="L42" s="108"/>
      <c r="M42" s="109"/>
      <c r="N42" s="109"/>
      <c r="O42" s="109"/>
      <c r="P42" s="43">
        <f t="shared" si="37"/>
        <v>0</v>
      </c>
      <c r="Q42" s="27"/>
      <c r="R42" s="132"/>
      <c r="T42" s="18" t="e">
        <f>VLOOKUP($E42, 'Unit Conversions Array'!$B$4:$Z$23, 25, FALSE)</f>
        <v>#N/A</v>
      </c>
      <c r="U42">
        <f>VLOOKUP(E42, 'General Project Info'!$R$30:$W$40, 6, FALSE)</f>
        <v>1</v>
      </c>
      <c r="V42" s="18">
        <f t="shared" si="38"/>
        <v>0</v>
      </c>
      <c r="W42" s="18">
        <f>IFERROR(F42*INDEX('Unit Conversions Array'!$E$4:$Y$23, MATCH('Scenarios &amp; Measures'!E42, 'Unit Conversions Array'!$B$4:$B$23, 0), MATCH('Scenarios &amp; Measures'!G42, 'Unit Conversions Array'!$E$3:$Y$3, 0)), 0)</f>
        <v>0</v>
      </c>
      <c r="X42" s="19">
        <f t="shared" si="39"/>
        <v>0</v>
      </c>
      <c r="Y42" s="19">
        <f t="shared" si="40"/>
        <v>0</v>
      </c>
      <c r="Z42" s="19">
        <f t="shared" si="41"/>
        <v>0</v>
      </c>
      <c r="AA42" s="17">
        <f t="shared" ref="AA42:AA52" si="52">IFERROR(ROUNDDOWN(($X$10-(K42-L42))/K42, 0)*K42+(K42-L42), 0)</f>
        <v>0</v>
      </c>
      <c r="AB42" s="17">
        <f t="shared" si="42"/>
        <v>20</v>
      </c>
      <c r="AC42" s="17">
        <f t="shared" si="43"/>
        <v>-20</v>
      </c>
      <c r="AD42" s="17">
        <f t="shared" si="44"/>
        <v>0</v>
      </c>
      <c r="AE42" s="18">
        <f t="shared" si="45"/>
        <v>0</v>
      </c>
      <c r="AF42" s="19">
        <f t="shared" si="33"/>
        <v>0</v>
      </c>
      <c r="AG42" s="12">
        <f t="shared" si="34"/>
        <v>0</v>
      </c>
      <c r="AH42" s="17">
        <f t="shared" si="46"/>
        <v>0</v>
      </c>
      <c r="AI42" s="23">
        <f>IF($V$10="RECs", -Y42/VLOOKUP("RECs", 'General Project Info'!$R$30:$W$40, 5, FALSE)*$V$11*IF($X$11=$Z$12, $X$10, (1/($Z$12-$X$11))*(1-($X$11/$Z$12)^$X$10)*$Z$12), 0)</f>
        <v>0</v>
      </c>
      <c r="AJ42" s="17">
        <f t="shared" si="47"/>
        <v>0</v>
      </c>
      <c r="AK42" s="17">
        <f t="shared" si="48"/>
        <v>0</v>
      </c>
      <c r="AL42" s="17">
        <f t="shared" si="49"/>
        <v>0</v>
      </c>
      <c r="AN42" s="12">
        <f t="shared" si="50"/>
        <v>0</v>
      </c>
      <c r="AO42" s="12">
        <f t="shared" si="51"/>
        <v>0</v>
      </c>
      <c r="AP42" s="12">
        <f t="shared" si="51"/>
        <v>0</v>
      </c>
      <c r="AQ42" s="12">
        <f t="shared" si="51"/>
        <v>0</v>
      </c>
      <c r="AR42" s="12">
        <f t="shared" si="51"/>
        <v>0</v>
      </c>
      <c r="AS42" s="12">
        <f t="shared" si="51"/>
        <v>0</v>
      </c>
      <c r="AT42" s="12">
        <f t="shared" si="51"/>
        <v>0</v>
      </c>
      <c r="AU42" s="12">
        <f t="shared" si="51"/>
        <v>0</v>
      </c>
      <c r="AV42" s="12">
        <f t="shared" si="51"/>
        <v>0</v>
      </c>
      <c r="AW42" s="12">
        <f t="shared" si="51"/>
        <v>0</v>
      </c>
      <c r="AX42" s="12">
        <f t="shared" si="51"/>
        <v>0</v>
      </c>
      <c r="AY42" s="12">
        <f t="shared" si="51"/>
        <v>0</v>
      </c>
      <c r="AZ42" s="12">
        <f t="shared" si="51"/>
        <v>0</v>
      </c>
      <c r="BA42" s="12">
        <f t="shared" si="51"/>
        <v>0</v>
      </c>
      <c r="BB42" s="12">
        <f t="shared" si="51"/>
        <v>0</v>
      </c>
      <c r="BC42" s="12">
        <f t="shared" si="51"/>
        <v>0</v>
      </c>
      <c r="BD42" s="12">
        <f t="shared" si="51"/>
        <v>0</v>
      </c>
      <c r="BE42" s="12">
        <f t="shared" si="51"/>
        <v>0</v>
      </c>
      <c r="BF42" s="12">
        <f t="shared" si="51"/>
        <v>0</v>
      </c>
      <c r="BG42" s="12">
        <f t="shared" si="51"/>
        <v>0</v>
      </c>
      <c r="BH42" s="12">
        <f t="shared" si="51"/>
        <v>0</v>
      </c>
      <c r="BI42" s="12">
        <f t="shared" si="51"/>
        <v>0</v>
      </c>
      <c r="BJ42" s="12">
        <f t="shared" si="51"/>
        <v>0</v>
      </c>
      <c r="BK42" s="12">
        <f t="shared" si="51"/>
        <v>0</v>
      </c>
      <c r="BL42" s="12">
        <f t="shared" si="51"/>
        <v>0</v>
      </c>
      <c r="BM42" s="12">
        <f t="shared" si="51"/>
        <v>0</v>
      </c>
      <c r="BN42" s="12">
        <f t="shared" si="51"/>
        <v>0</v>
      </c>
      <c r="BO42" s="12">
        <f t="shared" si="51"/>
        <v>0</v>
      </c>
      <c r="BP42" s="12">
        <f t="shared" si="51"/>
        <v>0</v>
      </c>
      <c r="BQ42" s="12">
        <f t="shared" si="51"/>
        <v>0</v>
      </c>
      <c r="BR42" s="12">
        <f t="shared" si="51"/>
        <v>0</v>
      </c>
      <c r="BS42" s="12">
        <f t="shared" si="51"/>
        <v>0</v>
      </c>
      <c r="BT42" s="12">
        <f t="shared" si="51"/>
        <v>0</v>
      </c>
      <c r="BU42" s="12">
        <f t="shared" si="51"/>
        <v>0</v>
      </c>
      <c r="BV42" s="12">
        <f t="shared" si="51"/>
        <v>0</v>
      </c>
      <c r="BW42" s="12">
        <f t="shared" si="51"/>
        <v>0</v>
      </c>
      <c r="BX42" s="12">
        <f t="shared" si="51"/>
        <v>0</v>
      </c>
      <c r="BY42" s="12">
        <f t="shared" si="51"/>
        <v>0</v>
      </c>
      <c r="BZ42" s="12">
        <f t="shared" si="51"/>
        <v>0</v>
      </c>
      <c r="CA42" s="12">
        <f t="shared" si="51"/>
        <v>0</v>
      </c>
      <c r="CB42" s="12">
        <f t="shared" si="51"/>
        <v>0</v>
      </c>
      <c r="CC42" s="12">
        <f t="shared" si="51"/>
        <v>0</v>
      </c>
      <c r="CD42" s="12">
        <f t="shared" si="51"/>
        <v>0</v>
      </c>
      <c r="CE42" s="12">
        <f t="shared" si="51"/>
        <v>0</v>
      </c>
      <c r="CF42" s="12">
        <f t="shared" si="51"/>
        <v>0</v>
      </c>
      <c r="CG42" s="12">
        <f t="shared" si="51"/>
        <v>0</v>
      </c>
      <c r="CH42" s="12">
        <f t="shared" si="51"/>
        <v>0</v>
      </c>
      <c r="CI42" s="12">
        <f t="shared" si="51"/>
        <v>0</v>
      </c>
      <c r="CJ42" s="12">
        <f t="shared" si="51"/>
        <v>0</v>
      </c>
      <c r="CK42" s="12">
        <f t="shared" si="51"/>
        <v>0</v>
      </c>
      <c r="CL42" s="12">
        <f t="shared" si="51"/>
        <v>0</v>
      </c>
      <c r="CM42" s="12">
        <f t="shared" si="51"/>
        <v>0</v>
      </c>
      <c r="CN42" s="12">
        <f t="shared" si="51"/>
        <v>0</v>
      </c>
      <c r="CO42" s="12">
        <f t="shared" si="51"/>
        <v>0</v>
      </c>
      <c r="CP42" s="12">
        <f t="shared" si="51"/>
        <v>0</v>
      </c>
      <c r="CQ42" s="12">
        <f t="shared" si="51"/>
        <v>0</v>
      </c>
      <c r="CR42" s="12">
        <f t="shared" si="51"/>
        <v>0</v>
      </c>
      <c r="CS42" s="12">
        <f t="shared" si="51"/>
        <v>0</v>
      </c>
      <c r="CT42" s="12">
        <f t="shared" si="51"/>
        <v>0</v>
      </c>
      <c r="CU42" s="12">
        <f t="shared" si="51"/>
        <v>0</v>
      </c>
      <c r="CV42" s="12">
        <f t="shared" si="51"/>
        <v>0</v>
      </c>
      <c r="CW42" s="12">
        <f t="shared" si="51"/>
        <v>0</v>
      </c>
      <c r="CX42" s="12">
        <f t="shared" si="51"/>
        <v>0</v>
      </c>
      <c r="CY42" s="12">
        <f t="shared" si="51"/>
        <v>0</v>
      </c>
      <c r="CZ42" s="12">
        <f t="shared" si="51"/>
        <v>0</v>
      </c>
      <c r="DA42" s="12">
        <f t="shared" si="36"/>
        <v>0</v>
      </c>
      <c r="DB42" s="12">
        <f t="shared" si="36"/>
        <v>0</v>
      </c>
      <c r="DC42" s="12">
        <f t="shared" si="36"/>
        <v>0</v>
      </c>
      <c r="DD42" s="12">
        <f t="shared" si="36"/>
        <v>0</v>
      </c>
      <c r="DE42" s="12">
        <f t="shared" si="36"/>
        <v>0</v>
      </c>
      <c r="DF42" s="12">
        <f t="shared" si="36"/>
        <v>0</v>
      </c>
      <c r="DG42" s="12">
        <f t="shared" si="36"/>
        <v>0</v>
      </c>
      <c r="DH42" s="12">
        <f t="shared" si="36"/>
        <v>0</v>
      </c>
      <c r="DI42" s="12">
        <f t="shared" si="36"/>
        <v>0</v>
      </c>
      <c r="DJ42" s="12">
        <f t="shared" si="36"/>
        <v>0</v>
      </c>
      <c r="DK42" s="12">
        <f t="shared" si="36"/>
        <v>0</v>
      </c>
      <c r="DL42" s="12">
        <f t="shared" si="36"/>
        <v>0</v>
      </c>
      <c r="DM42" s="12">
        <f t="shared" si="36"/>
        <v>0</v>
      </c>
      <c r="DN42" s="12">
        <f t="shared" si="36"/>
        <v>0</v>
      </c>
      <c r="DO42" s="12">
        <f t="shared" si="36"/>
        <v>0</v>
      </c>
      <c r="DP42" s="12">
        <f t="shared" si="36"/>
        <v>0</v>
      </c>
      <c r="DQ42" s="12">
        <f t="shared" si="36"/>
        <v>0</v>
      </c>
      <c r="DR42" s="12">
        <f t="shared" si="36"/>
        <v>0</v>
      </c>
      <c r="DS42" s="12">
        <f t="shared" si="36"/>
        <v>0</v>
      </c>
      <c r="DT42" s="12">
        <f t="shared" si="36"/>
        <v>0</v>
      </c>
      <c r="DU42" s="12">
        <f t="shared" si="36"/>
        <v>0</v>
      </c>
      <c r="DV42" s="12">
        <f t="shared" si="36"/>
        <v>0</v>
      </c>
      <c r="DW42" s="12">
        <f t="shared" si="36"/>
        <v>0</v>
      </c>
      <c r="DX42" s="12">
        <f t="shared" si="36"/>
        <v>0</v>
      </c>
      <c r="DY42" s="12">
        <f t="shared" si="36"/>
        <v>0</v>
      </c>
      <c r="DZ42" s="12">
        <f t="shared" si="36"/>
        <v>0</v>
      </c>
      <c r="EA42" s="12">
        <f t="shared" si="36"/>
        <v>0</v>
      </c>
      <c r="EB42" s="12">
        <f t="shared" si="36"/>
        <v>0</v>
      </c>
      <c r="EC42" s="12">
        <f t="shared" si="36"/>
        <v>0</v>
      </c>
      <c r="ED42" s="12">
        <f t="shared" si="36"/>
        <v>0</v>
      </c>
      <c r="EE42" s="12">
        <f t="shared" si="36"/>
        <v>0</v>
      </c>
      <c r="EF42" s="12">
        <f t="shared" si="36"/>
        <v>0</v>
      </c>
      <c r="EG42" s="12">
        <f t="shared" si="36"/>
        <v>0</v>
      </c>
      <c r="EH42" s="12">
        <f t="shared" si="36"/>
        <v>0</v>
      </c>
      <c r="EI42" s="12">
        <f t="shared" si="36"/>
        <v>0</v>
      </c>
      <c r="EJ42" s="12">
        <f t="shared" si="36"/>
        <v>0</v>
      </c>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row>
    <row r="43" spans="1:345" x14ac:dyDescent="0.35">
      <c r="A43" s="132"/>
      <c r="B43" s="27"/>
      <c r="C43" s="170"/>
      <c r="D43" s="170"/>
      <c r="E43" s="103"/>
      <c r="F43" s="105"/>
      <c r="G43" s="36" t="str">
        <f>IFERROR(VLOOKUP(E43, 'General Project Info'!$C$30:$I$40, 7, FALSE), "")</f>
        <v/>
      </c>
      <c r="H43" s="41">
        <f>IFERROR(X43*VLOOKUP(E43, 'General Project Info'!$R$30:$T$40, 3, FALSE), 0)</f>
        <v>0</v>
      </c>
      <c r="I43" s="42">
        <f>IFERROR(IF($T43="Yes", $X43*VLOOKUP($E43, 'General Project Info'!$R$30:$W$40, 5, FALSE), 0), 0)</f>
        <v>0</v>
      </c>
      <c r="J43" s="42">
        <f>IFERROR(IF($T43="No", $X43*VLOOKUP($E43, 'General Project Info'!$R$30:$W$40, 5, FALSE), 0), 0)</f>
        <v>0</v>
      </c>
      <c r="K43" s="108"/>
      <c r="L43" s="108"/>
      <c r="M43" s="109"/>
      <c r="N43" s="109"/>
      <c r="O43" s="109"/>
      <c r="P43" s="43">
        <f t="shared" si="37"/>
        <v>0</v>
      </c>
      <c r="Q43" s="27"/>
      <c r="R43" s="132"/>
      <c r="T43" s="18" t="e">
        <f>VLOOKUP($E43, 'Unit Conversions Array'!$B$4:$Z$23, 25, FALSE)</f>
        <v>#N/A</v>
      </c>
      <c r="U43">
        <f>VLOOKUP(E43, 'General Project Info'!$R$30:$W$40, 6, FALSE)</f>
        <v>1</v>
      </c>
      <c r="V43" s="18">
        <f t="shared" si="38"/>
        <v>0</v>
      </c>
      <c r="W43" s="18">
        <f>IFERROR(F43*INDEX('Unit Conversions Array'!$E$4:$Y$23, MATCH('Scenarios &amp; Measures'!E43, 'Unit Conversions Array'!$B$4:$B$23, 0), MATCH('Scenarios &amp; Measures'!G43, 'Unit Conversions Array'!$E$3:$Y$3, 0)), 0)</f>
        <v>0</v>
      </c>
      <c r="X43" s="19">
        <f t="shared" si="39"/>
        <v>0</v>
      </c>
      <c r="Y43" s="19">
        <f t="shared" si="40"/>
        <v>0</v>
      </c>
      <c r="Z43" s="19">
        <f t="shared" si="41"/>
        <v>0</v>
      </c>
      <c r="AA43" s="17">
        <f t="shared" si="52"/>
        <v>0</v>
      </c>
      <c r="AB43" s="17">
        <f t="shared" si="42"/>
        <v>20</v>
      </c>
      <c r="AC43" s="17">
        <f t="shared" si="43"/>
        <v>-20</v>
      </c>
      <c r="AD43" s="17">
        <f t="shared" si="44"/>
        <v>0</v>
      </c>
      <c r="AE43" s="18">
        <f t="shared" si="45"/>
        <v>0</v>
      </c>
      <c r="AF43" s="19">
        <f t="shared" si="33"/>
        <v>0</v>
      </c>
      <c r="AG43" s="12">
        <f t="shared" si="34"/>
        <v>0</v>
      </c>
      <c r="AH43" s="17">
        <f t="shared" si="46"/>
        <v>0</v>
      </c>
      <c r="AI43" s="23">
        <f>IF($V$10="RECs", -Y43/VLOOKUP("RECs", 'General Project Info'!$R$30:$W$40, 5, FALSE)*$V$11*IF($X$11=$Z$12, $X$10, (1/($Z$12-$X$11))*(1-($X$11/$Z$12)^$X$10)*$Z$12), 0)</f>
        <v>0</v>
      </c>
      <c r="AJ43" s="17">
        <f t="shared" si="47"/>
        <v>0</v>
      </c>
      <c r="AK43" s="17">
        <f t="shared" si="48"/>
        <v>0</v>
      </c>
      <c r="AL43" s="17">
        <f t="shared" si="49"/>
        <v>0</v>
      </c>
      <c r="AN43" s="12">
        <f t="shared" si="50"/>
        <v>0</v>
      </c>
      <c r="AO43" s="12">
        <f t="shared" si="51"/>
        <v>0</v>
      </c>
      <c r="AP43" s="12">
        <f t="shared" si="51"/>
        <v>0</v>
      </c>
      <c r="AQ43" s="12">
        <f t="shared" si="51"/>
        <v>0</v>
      </c>
      <c r="AR43" s="12">
        <f t="shared" si="51"/>
        <v>0</v>
      </c>
      <c r="AS43" s="12">
        <f t="shared" si="51"/>
        <v>0</v>
      </c>
      <c r="AT43" s="12">
        <f t="shared" si="51"/>
        <v>0</v>
      </c>
      <c r="AU43" s="12">
        <f t="shared" si="51"/>
        <v>0</v>
      </c>
      <c r="AV43" s="12">
        <f t="shared" si="51"/>
        <v>0</v>
      </c>
      <c r="AW43" s="12">
        <f t="shared" si="51"/>
        <v>0</v>
      </c>
      <c r="AX43" s="12">
        <f t="shared" si="51"/>
        <v>0</v>
      </c>
      <c r="AY43" s="12">
        <f t="shared" si="51"/>
        <v>0</v>
      </c>
      <c r="AZ43" s="12">
        <f t="shared" si="51"/>
        <v>0</v>
      </c>
      <c r="BA43" s="12">
        <f t="shared" si="51"/>
        <v>0</v>
      </c>
      <c r="BB43" s="12">
        <f t="shared" si="51"/>
        <v>0</v>
      </c>
      <c r="BC43" s="12">
        <f t="shared" si="51"/>
        <v>0</v>
      </c>
      <c r="BD43" s="12">
        <f t="shared" si="51"/>
        <v>0</v>
      </c>
      <c r="BE43" s="12">
        <f t="shared" si="51"/>
        <v>0</v>
      </c>
      <c r="BF43" s="12">
        <f t="shared" si="51"/>
        <v>0</v>
      </c>
      <c r="BG43" s="12">
        <f t="shared" si="51"/>
        <v>0</v>
      </c>
      <c r="BH43" s="12">
        <f t="shared" si="51"/>
        <v>0</v>
      </c>
      <c r="BI43" s="12">
        <f t="shared" si="51"/>
        <v>0</v>
      </c>
      <c r="BJ43" s="12">
        <f t="shared" si="51"/>
        <v>0</v>
      </c>
      <c r="BK43" s="12">
        <f t="shared" si="51"/>
        <v>0</v>
      </c>
      <c r="BL43" s="12">
        <f t="shared" si="51"/>
        <v>0</v>
      </c>
      <c r="BM43" s="12">
        <f t="shared" si="51"/>
        <v>0</v>
      </c>
      <c r="BN43" s="12">
        <f t="shared" si="51"/>
        <v>0</v>
      </c>
      <c r="BO43" s="12">
        <f t="shared" si="51"/>
        <v>0</v>
      </c>
      <c r="BP43" s="12">
        <f t="shared" si="51"/>
        <v>0</v>
      </c>
      <c r="BQ43" s="12">
        <f t="shared" si="51"/>
        <v>0</v>
      </c>
      <c r="BR43" s="12">
        <f t="shared" si="51"/>
        <v>0</v>
      </c>
      <c r="BS43" s="12">
        <f t="shared" si="51"/>
        <v>0</v>
      </c>
      <c r="BT43" s="12">
        <f t="shared" si="51"/>
        <v>0</v>
      </c>
      <c r="BU43" s="12">
        <f t="shared" si="51"/>
        <v>0</v>
      </c>
      <c r="BV43" s="12">
        <f t="shared" si="51"/>
        <v>0</v>
      </c>
      <c r="BW43" s="12">
        <f t="shared" si="51"/>
        <v>0</v>
      </c>
      <c r="BX43" s="12">
        <f t="shared" si="51"/>
        <v>0</v>
      </c>
      <c r="BY43" s="12">
        <f t="shared" si="51"/>
        <v>0</v>
      </c>
      <c r="BZ43" s="12">
        <f t="shared" si="51"/>
        <v>0</v>
      </c>
      <c r="CA43" s="12">
        <f t="shared" si="51"/>
        <v>0</v>
      </c>
      <c r="CB43" s="12">
        <f t="shared" si="51"/>
        <v>0</v>
      </c>
      <c r="CC43" s="12">
        <f t="shared" si="51"/>
        <v>0</v>
      </c>
      <c r="CD43" s="12">
        <f t="shared" si="51"/>
        <v>0</v>
      </c>
      <c r="CE43" s="12">
        <f t="shared" si="51"/>
        <v>0</v>
      </c>
      <c r="CF43" s="12">
        <f t="shared" si="51"/>
        <v>0</v>
      </c>
      <c r="CG43" s="12">
        <f t="shared" si="51"/>
        <v>0</v>
      </c>
      <c r="CH43" s="12">
        <f t="shared" si="51"/>
        <v>0</v>
      </c>
      <c r="CI43" s="12">
        <f t="shared" si="51"/>
        <v>0</v>
      </c>
      <c r="CJ43" s="12">
        <f t="shared" si="51"/>
        <v>0</v>
      </c>
      <c r="CK43" s="12">
        <f t="shared" si="51"/>
        <v>0</v>
      </c>
      <c r="CL43" s="12">
        <f t="shared" si="51"/>
        <v>0</v>
      </c>
      <c r="CM43" s="12">
        <f t="shared" si="51"/>
        <v>0</v>
      </c>
      <c r="CN43" s="12">
        <f t="shared" si="51"/>
        <v>0</v>
      </c>
      <c r="CO43" s="12">
        <f t="shared" si="51"/>
        <v>0</v>
      </c>
      <c r="CP43" s="12">
        <f t="shared" si="51"/>
        <v>0</v>
      </c>
      <c r="CQ43" s="12">
        <f t="shared" si="51"/>
        <v>0</v>
      </c>
      <c r="CR43" s="12">
        <f t="shared" si="51"/>
        <v>0</v>
      </c>
      <c r="CS43" s="12">
        <f t="shared" si="51"/>
        <v>0</v>
      </c>
      <c r="CT43" s="12">
        <f t="shared" si="51"/>
        <v>0</v>
      </c>
      <c r="CU43" s="12">
        <f t="shared" si="51"/>
        <v>0</v>
      </c>
      <c r="CV43" s="12">
        <f t="shared" si="51"/>
        <v>0</v>
      </c>
      <c r="CW43" s="12">
        <f t="shared" si="51"/>
        <v>0</v>
      </c>
      <c r="CX43" s="12">
        <f t="shared" si="51"/>
        <v>0</v>
      </c>
      <c r="CY43" s="12">
        <f t="shared" si="51"/>
        <v>0</v>
      </c>
      <c r="CZ43" s="12">
        <f t="shared" si="51"/>
        <v>0</v>
      </c>
      <c r="DA43" s="12">
        <f t="shared" si="36"/>
        <v>0</v>
      </c>
      <c r="DB43" s="12">
        <f t="shared" si="36"/>
        <v>0</v>
      </c>
      <c r="DC43" s="12">
        <f t="shared" si="36"/>
        <v>0</v>
      </c>
      <c r="DD43" s="12">
        <f t="shared" si="36"/>
        <v>0</v>
      </c>
      <c r="DE43" s="12">
        <f t="shared" si="36"/>
        <v>0</v>
      </c>
      <c r="DF43" s="12">
        <f t="shared" si="36"/>
        <v>0</v>
      </c>
      <c r="DG43" s="12">
        <f t="shared" si="36"/>
        <v>0</v>
      </c>
      <c r="DH43" s="12">
        <f t="shared" si="36"/>
        <v>0</v>
      </c>
      <c r="DI43" s="12">
        <f t="shared" si="36"/>
        <v>0</v>
      </c>
      <c r="DJ43" s="12">
        <f t="shared" si="36"/>
        <v>0</v>
      </c>
      <c r="DK43" s="12">
        <f t="shared" si="36"/>
        <v>0</v>
      </c>
      <c r="DL43" s="12">
        <f t="shared" si="36"/>
        <v>0</v>
      </c>
      <c r="DM43" s="12">
        <f t="shared" si="36"/>
        <v>0</v>
      </c>
      <c r="DN43" s="12">
        <f t="shared" si="36"/>
        <v>0</v>
      </c>
      <c r="DO43" s="12">
        <f t="shared" si="36"/>
        <v>0</v>
      </c>
      <c r="DP43" s="12">
        <f t="shared" si="36"/>
        <v>0</v>
      </c>
      <c r="DQ43" s="12">
        <f t="shared" si="36"/>
        <v>0</v>
      </c>
      <c r="DR43" s="12">
        <f t="shared" si="36"/>
        <v>0</v>
      </c>
      <c r="DS43" s="12">
        <f t="shared" si="36"/>
        <v>0</v>
      </c>
      <c r="DT43" s="12">
        <f t="shared" si="36"/>
        <v>0</v>
      </c>
      <c r="DU43" s="12">
        <f t="shared" si="36"/>
        <v>0</v>
      </c>
      <c r="DV43" s="12">
        <f t="shared" si="36"/>
        <v>0</v>
      </c>
      <c r="DW43" s="12">
        <f t="shared" si="36"/>
        <v>0</v>
      </c>
      <c r="DX43" s="12">
        <f t="shared" si="36"/>
        <v>0</v>
      </c>
      <c r="DY43" s="12">
        <f t="shared" si="36"/>
        <v>0</v>
      </c>
      <c r="DZ43" s="12">
        <f t="shared" si="36"/>
        <v>0</v>
      </c>
      <c r="EA43" s="12">
        <f t="shared" si="36"/>
        <v>0</v>
      </c>
      <c r="EB43" s="12">
        <f t="shared" si="36"/>
        <v>0</v>
      </c>
      <c r="EC43" s="12">
        <f t="shared" si="36"/>
        <v>0</v>
      </c>
      <c r="ED43" s="12">
        <f t="shared" si="36"/>
        <v>0</v>
      </c>
      <c r="EE43" s="12">
        <f t="shared" si="36"/>
        <v>0</v>
      </c>
      <c r="EF43" s="12">
        <f t="shared" si="36"/>
        <v>0</v>
      </c>
      <c r="EG43" s="12">
        <f t="shared" si="36"/>
        <v>0</v>
      </c>
      <c r="EH43" s="12">
        <f t="shared" si="36"/>
        <v>0</v>
      </c>
      <c r="EI43" s="12">
        <f t="shared" si="36"/>
        <v>0</v>
      </c>
      <c r="EJ43" s="12">
        <f t="shared" si="36"/>
        <v>0</v>
      </c>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row>
    <row r="44" spans="1:345" x14ac:dyDescent="0.35">
      <c r="A44" s="132"/>
      <c r="B44" s="27"/>
      <c r="C44" s="170"/>
      <c r="D44" s="170"/>
      <c r="E44" s="103"/>
      <c r="F44" s="105"/>
      <c r="G44" s="36" t="str">
        <f>IFERROR(VLOOKUP(E44, 'General Project Info'!$C$30:$I$40, 7, FALSE), "")</f>
        <v/>
      </c>
      <c r="H44" s="41">
        <f>IFERROR(X44*VLOOKUP(E44, 'General Project Info'!$R$30:$T$40, 3, FALSE), 0)</f>
        <v>0</v>
      </c>
      <c r="I44" s="42">
        <f>IFERROR(IF($T44="Yes", $X44*VLOOKUP($E44, 'General Project Info'!$R$30:$W$40, 5, FALSE), 0), 0)</f>
        <v>0</v>
      </c>
      <c r="J44" s="42">
        <f>IFERROR(IF($T44="No", $X44*VLOOKUP($E44, 'General Project Info'!$R$30:$W$40, 5, FALSE), 0), 0)</f>
        <v>0</v>
      </c>
      <c r="K44" s="108"/>
      <c r="L44" s="108"/>
      <c r="M44" s="109"/>
      <c r="N44" s="109"/>
      <c r="O44" s="109"/>
      <c r="P44" s="43">
        <f t="shared" si="37"/>
        <v>0</v>
      </c>
      <c r="Q44" s="27"/>
      <c r="R44" s="132"/>
      <c r="T44" s="18" t="e">
        <f>VLOOKUP($E44, 'Unit Conversions Array'!$B$4:$Z$23, 25, FALSE)</f>
        <v>#N/A</v>
      </c>
      <c r="U44">
        <f>VLOOKUP(E44, 'General Project Info'!$R$30:$W$40, 6, FALSE)</f>
        <v>1</v>
      </c>
      <c r="V44" s="18">
        <f t="shared" si="38"/>
        <v>0</v>
      </c>
      <c r="W44" s="18">
        <f>IFERROR(F44*INDEX('Unit Conversions Array'!$E$4:$Y$23, MATCH('Scenarios &amp; Measures'!E44, 'Unit Conversions Array'!$B$4:$B$23, 0), MATCH('Scenarios &amp; Measures'!G44, 'Unit Conversions Array'!$E$3:$Y$3, 0)), 0)</f>
        <v>0</v>
      </c>
      <c r="X44" s="19">
        <f t="shared" si="39"/>
        <v>0</v>
      </c>
      <c r="Y44" s="19">
        <f t="shared" si="40"/>
        <v>0</v>
      </c>
      <c r="Z44" s="19">
        <f t="shared" si="41"/>
        <v>0</v>
      </c>
      <c r="AA44" s="17">
        <f t="shared" si="52"/>
        <v>0</v>
      </c>
      <c r="AB44" s="17">
        <f t="shared" si="42"/>
        <v>20</v>
      </c>
      <c r="AC44" s="17">
        <f t="shared" si="43"/>
        <v>-20</v>
      </c>
      <c r="AD44" s="17">
        <f t="shared" si="44"/>
        <v>0</v>
      </c>
      <c r="AE44" s="18">
        <f t="shared" si="45"/>
        <v>0</v>
      </c>
      <c r="AF44" s="19">
        <f t="shared" si="33"/>
        <v>0</v>
      </c>
      <c r="AG44" s="12">
        <f t="shared" si="34"/>
        <v>0</v>
      </c>
      <c r="AH44" s="17">
        <f t="shared" si="46"/>
        <v>0</v>
      </c>
      <c r="AI44" s="23">
        <f>IF($V$10="RECs", -Y44/VLOOKUP("RECs", 'General Project Info'!$R$30:$W$40, 5, FALSE)*$V$11*IF($X$11=$Z$12, $X$10, (1/($Z$12-$X$11))*(1-($X$11/$Z$12)^$X$10)*$Z$12), 0)</f>
        <v>0</v>
      </c>
      <c r="AJ44" s="17">
        <f t="shared" si="47"/>
        <v>0</v>
      </c>
      <c r="AK44" s="17">
        <f t="shared" si="48"/>
        <v>0</v>
      </c>
      <c r="AL44" s="17">
        <f t="shared" si="49"/>
        <v>0</v>
      </c>
      <c r="AN44" s="12">
        <f t="shared" si="50"/>
        <v>0</v>
      </c>
      <c r="AO44" s="12">
        <f t="shared" si="51"/>
        <v>0</v>
      </c>
      <c r="AP44" s="12">
        <f t="shared" si="51"/>
        <v>0</v>
      </c>
      <c r="AQ44" s="12">
        <f t="shared" si="51"/>
        <v>0</v>
      </c>
      <c r="AR44" s="12">
        <f t="shared" si="51"/>
        <v>0</v>
      </c>
      <c r="AS44" s="12">
        <f t="shared" si="51"/>
        <v>0</v>
      </c>
      <c r="AT44" s="12">
        <f t="shared" si="51"/>
        <v>0</v>
      </c>
      <c r="AU44" s="12">
        <f t="shared" si="51"/>
        <v>0</v>
      </c>
      <c r="AV44" s="12">
        <f t="shared" si="51"/>
        <v>0</v>
      </c>
      <c r="AW44" s="12">
        <f t="shared" si="51"/>
        <v>0</v>
      </c>
      <c r="AX44" s="12">
        <f t="shared" si="51"/>
        <v>0</v>
      </c>
      <c r="AY44" s="12">
        <f t="shared" si="51"/>
        <v>0</v>
      </c>
      <c r="AZ44" s="12">
        <f t="shared" si="51"/>
        <v>0</v>
      </c>
      <c r="BA44" s="12">
        <f t="shared" si="51"/>
        <v>0</v>
      </c>
      <c r="BB44" s="12">
        <f t="shared" si="51"/>
        <v>0</v>
      </c>
      <c r="BC44" s="12">
        <f t="shared" si="51"/>
        <v>0</v>
      </c>
      <c r="BD44" s="12">
        <f t="shared" si="51"/>
        <v>0</v>
      </c>
      <c r="BE44" s="12">
        <f t="shared" si="51"/>
        <v>0</v>
      </c>
      <c r="BF44" s="12">
        <f t="shared" si="51"/>
        <v>0</v>
      </c>
      <c r="BG44" s="12">
        <f t="shared" si="51"/>
        <v>0</v>
      </c>
      <c r="BH44" s="12">
        <f t="shared" si="51"/>
        <v>0</v>
      </c>
      <c r="BI44" s="12">
        <f t="shared" si="51"/>
        <v>0</v>
      </c>
      <c r="BJ44" s="12">
        <f t="shared" si="51"/>
        <v>0</v>
      </c>
      <c r="BK44" s="12">
        <f t="shared" si="51"/>
        <v>0</v>
      </c>
      <c r="BL44" s="12">
        <f t="shared" si="51"/>
        <v>0</v>
      </c>
      <c r="BM44" s="12">
        <f t="shared" si="51"/>
        <v>0</v>
      </c>
      <c r="BN44" s="12">
        <f t="shared" si="51"/>
        <v>0</v>
      </c>
      <c r="BO44" s="12">
        <f t="shared" si="51"/>
        <v>0</v>
      </c>
      <c r="BP44" s="12">
        <f t="shared" si="51"/>
        <v>0</v>
      </c>
      <c r="BQ44" s="12">
        <f t="shared" si="51"/>
        <v>0</v>
      </c>
      <c r="BR44" s="12">
        <f t="shared" si="51"/>
        <v>0</v>
      </c>
      <c r="BS44" s="12">
        <f t="shared" si="51"/>
        <v>0</v>
      </c>
      <c r="BT44" s="12">
        <f t="shared" si="51"/>
        <v>0</v>
      </c>
      <c r="BU44" s="12">
        <f t="shared" si="51"/>
        <v>0</v>
      </c>
      <c r="BV44" s="12">
        <f t="shared" si="51"/>
        <v>0</v>
      </c>
      <c r="BW44" s="12">
        <f t="shared" si="51"/>
        <v>0</v>
      </c>
      <c r="BX44" s="12">
        <f t="shared" si="51"/>
        <v>0</v>
      </c>
      <c r="BY44" s="12">
        <f t="shared" si="51"/>
        <v>0</v>
      </c>
      <c r="BZ44" s="12">
        <f t="shared" si="51"/>
        <v>0</v>
      </c>
      <c r="CA44" s="12">
        <f t="shared" si="51"/>
        <v>0</v>
      </c>
      <c r="CB44" s="12">
        <f t="shared" si="51"/>
        <v>0</v>
      </c>
      <c r="CC44" s="12">
        <f t="shared" si="51"/>
        <v>0</v>
      </c>
      <c r="CD44" s="12">
        <f t="shared" si="51"/>
        <v>0</v>
      </c>
      <c r="CE44" s="12">
        <f t="shared" si="51"/>
        <v>0</v>
      </c>
      <c r="CF44" s="12">
        <f t="shared" si="51"/>
        <v>0</v>
      </c>
      <c r="CG44" s="12">
        <f t="shared" si="51"/>
        <v>0</v>
      </c>
      <c r="CH44" s="12">
        <f t="shared" si="51"/>
        <v>0</v>
      </c>
      <c r="CI44" s="12">
        <f t="shared" si="51"/>
        <v>0</v>
      </c>
      <c r="CJ44" s="12">
        <f t="shared" si="51"/>
        <v>0</v>
      </c>
      <c r="CK44" s="12">
        <f t="shared" si="51"/>
        <v>0</v>
      </c>
      <c r="CL44" s="12">
        <f t="shared" si="51"/>
        <v>0</v>
      </c>
      <c r="CM44" s="12">
        <f t="shared" si="51"/>
        <v>0</v>
      </c>
      <c r="CN44" s="12">
        <f t="shared" si="51"/>
        <v>0</v>
      </c>
      <c r="CO44" s="12">
        <f t="shared" si="51"/>
        <v>0</v>
      </c>
      <c r="CP44" s="12">
        <f t="shared" si="51"/>
        <v>0</v>
      </c>
      <c r="CQ44" s="12">
        <f t="shared" si="51"/>
        <v>0</v>
      </c>
      <c r="CR44" s="12">
        <f t="shared" si="51"/>
        <v>0</v>
      </c>
      <c r="CS44" s="12">
        <f t="shared" si="51"/>
        <v>0</v>
      </c>
      <c r="CT44" s="12">
        <f t="shared" si="51"/>
        <v>0</v>
      </c>
      <c r="CU44" s="12">
        <f t="shared" si="51"/>
        <v>0</v>
      </c>
      <c r="CV44" s="12">
        <f t="shared" si="51"/>
        <v>0</v>
      </c>
      <c r="CW44" s="12">
        <f t="shared" si="51"/>
        <v>0</v>
      </c>
      <c r="CX44" s="12">
        <f t="shared" si="51"/>
        <v>0</v>
      </c>
      <c r="CY44" s="12">
        <f t="shared" si="51"/>
        <v>0</v>
      </c>
      <c r="CZ44" s="12">
        <f t="shared" ref="CZ44:EJ47" si="53">IFERROR(IF(CZ$38&gt;=$X$10, 0, IF(MOD($AD44+CZ$38, $K44)=0, (($M44-$N44)*$Z$11^CZ$38), 0)), 0)</f>
        <v>0</v>
      </c>
      <c r="DA44" s="12">
        <f t="shared" si="53"/>
        <v>0</v>
      </c>
      <c r="DB44" s="12">
        <f t="shared" si="53"/>
        <v>0</v>
      </c>
      <c r="DC44" s="12">
        <f t="shared" si="53"/>
        <v>0</v>
      </c>
      <c r="DD44" s="12">
        <f t="shared" si="53"/>
        <v>0</v>
      </c>
      <c r="DE44" s="12">
        <f t="shared" si="53"/>
        <v>0</v>
      </c>
      <c r="DF44" s="12">
        <f t="shared" si="53"/>
        <v>0</v>
      </c>
      <c r="DG44" s="12">
        <f t="shared" si="53"/>
        <v>0</v>
      </c>
      <c r="DH44" s="12">
        <f t="shared" si="53"/>
        <v>0</v>
      </c>
      <c r="DI44" s="12">
        <f t="shared" si="53"/>
        <v>0</v>
      </c>
      <c r="DJ44" s="12">
        <f t="shared" si="53"/>
        <v>0</v>
      </c>
      <c r="DK44" s="12">
        <f t="shared" si="53"/>
        <v>0</v>
      </c>
      <c r="DL44" s="12">
        <f t="shared" si="53"/>
        <v>0</v>
      </c>
      <c r="DM44" s="12">
        <f t="shared" si="53"/>
        <v>0</v>
      </c>
      <c r="DN44" s="12">
        <f t="shared" si="53"/>
        <v>0</v>
      </c>
      <c r="DO44" s="12">
        <f t="shared" si="53"/>
        <v>0</v>
      </c>
      <c r="DP44" s="12">
        <f t="shared" si="53"/>
        <v>0</v>
      </c>
      <c r="DQ44" s="12">
        <f t="shared" si="53"/>
        <v>0</v>
      </c>
      <c r="DR44" s="12">
        <f t="shared" si="53"/>
        <v>0</v>
      </c>
      <c r="DS44" s="12">
        <f t="shared" si="53"/>
        <v>0</v>
      </c>
      <c r="DT44" s="12">
        <f t="shared" si="53"/>
        <v>0</v>
      </c>
      <c r="DU44" s="12">
        <f t="shared" si="53"/>
        <v>0</v>
      </c>
      <c r="DV44" s="12">
        <f t="shared" si="53"/>
        <v>0</v>
      </c>
      <c r="DW44" s="12">
        <f t="shared" si="53"/>
        <v>0</v>
      </c>
      <c r="DX44" s="12">
        <f t="shared" si="53"/>
        <v>0</v>
      </c>
      <c r="DY44" s="12">
        <f t="shared" si="53"/>
        <v>0</v>
      </c>
      <c r="DZ44" s="12">
        <f t="shared" si="53"/>
        <v>0</v>
      </c>
      <c r="EA44" s="12">
        <f t="shared" si="53"/>
        <v>0</v>
      </c>
      <c r="EB44" s="12">
        <f t="shared" si="53"/>
        <v>0</v>
      </c>
      <c r="EC44" s="12">
        <f t="shared" si="53"/>
        <v>0</v>
      </c>
      <c r="ED44" s="12">
        <f t="shared" si="53"/>
        <v>0</v>
      </c>
      <c r="EE44" s="12">
        <f t="shared" si="53"/>
        <v>0</v>
      </c>
      <c r="EF44" s="12">
        <f t="shared" si="53"/>
        <v>0</v>
      </c>
      <c r="EG44" s="12">
        <f t="shared" si="53"/>
        <v>0</v>
      </c>
      <c r="EH44" s="12">
        <f t="shared" si="53"/>
        <v>0</v>
      </c>
      <c r="EI44" s="12">
        <f t="shared" si="53"/>
        <v>0</v>
      </c>
      <c r="EJ44" s="12">
        <f t="shared" si="53"/>
        <v>0</v>
      </c>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row>
    <row r="45" spans="1:345" x14ac:dyDescent="0.35">
      <c r="A45" s="132"/>
      <c r="B45" s="27"/>
      <c r="C45" s="170"/>
      <c r="D45" s="170"/>
      <c r="E45" s="103"/>
      <c r="F45" s="105"/>
      <c r="G45" s="36" t="str">
        <f>IFERROR(VLOOKUP(E45, 'General Project Info'!$C$30:$I$40, 7, FALSE), "")</f>
        <v/>
      </c>
      <c r="H45" s="41">
        <f>IFERROR(X45*VLOOKUP(E45, 'General Project Info'!$R$30:$T$40, 3, FALSE), 0)</f>
        <v>0</v>
      </c>
      <c r="I45" s="42">
        <f>IFERROR(IF($T45="Yes", $X45*VLOOKUP($E45, 'General Project Info'!$R$30:$W$40, 5, FALSE), 0), 0)</f>
        <v>0</v>
      </c>
      <c r="J45" s="42">
        <f>IFERROR(IF($T45="No", $X45*VLOOKUP($E45, 'General Project Info'!$R$30:$W$40, 5, FALSE), 0), 0)</f>
        <v>0</v>
      </c>
      <c r="K45" s="108"/>
      <c r="L45" s="108"/>
      <c r="M45" s="109"/>
      <c r="N45" s="109"/>
      <c r="O45" s="109"/>
      <c r="P45" s="43">
        <f t="shared" si="37"/>
        <v>0</v>
      </c>
      <c r="Q45" s="27"/>
      <c r="R45" s="132"/>
      <c r="T45" s="18" t="e">
        <f>VLOOKUP($E45, 'Unit Conversions Array'!$B$4:$Z$23, 25, FALSE)</f>
        <v>#N/A</v>
      </c>
      <c r="U45">
        <f>VLOOKUP(E45, 'General Project Info'!$R$30:$W$40, 6, FALSE)</f>
        <v>1</v>
      </c>
      <c r="V45" s="18">
        <f t="shared" si="38"/>
        <v>0</v>
      </c>
      <c r="W45" s="18">
        <f>IFERROR(F45*INDEX('Unit Conversions Array'!$E$4:$Y$23, MATCH('Scenarios &amp; Measures'!E45, 'Unit Conversions Array'!$B$4:$B$23, 0), MATCH('Scenarios &amp; Measures'!G45, 'Unit Conversions Array'!$E$3:$Y$3, 0)), 0)</f>
        <v>0</v>
      </c>
      <c r="X45" s="19">
        <f t="shared" si="39"/>
        <v>0</v>
      </c>
      <c r="Y45" s="19">
        <f t="shared" si="40"/>
        <v>0</v>
      </c>
      <c r="Z45" s="19">
        <f t="shared" si="41"/>
        <v>0</v>
      </c>
      <c r="AA45" s="17">
        <f t="shared" si="52"/>
        <v>0</v>
      </c>
      <c r="AB45" s="17">
        <f t="shared" si="42"/>
        <v>20</v>
      </c>
      <c r="AC45" s="17">
        <f t="shared" si="43"/>
        <v>-20</v>
      </c>
      <c r="AD45" s="17">
        <f t="shared" si="44"/>
        <v>0</v>
      </c>
      <c r="AE45" s="18">
        <f t="shared" si="45"/>
        <v>0</v>
      </c>
      <c r="AF45" s="19">
        <f t="shared" si="33"/>
        <v>0</v>
      </c>
      <c r="AG45" s="12">
        <f t="shared" si="34"/>
        <v>0</v>
      </c>
      <c r="AH45" s="17">
        <f t="shared" si="46"/>
        <v>0</v>
      </c>
      <c r="AI45" s="23">
        <f>IF($V$10="RECs", -Y45/VLOOKUP("RECs", 'General Project Info'!$R$30:$W$40, 5, FALSE)*$V$11*IF($X$11=$Z$12, $X$10, (1/($Z$12-$X$11))*(1-($X$11/$Z$12)^$X$10)*$Z$12), 0)</f>
        <v>0</v>
      </c>
      <c r="AJ45" s="17">
        <f t="shared" si="47"/>
        <v>0</v>
      </c>
      <c r="AK45" s="17">
        <f t="shared" si="48"/>
        <v>0</v>
      </c>
      <c r="AL45" s="17">
        <f t="shared" si="49"/>
        <v>0</v>
      </c>
      <c r="AN45" s="12">
        <f t="shared" si="50"/>
        <v>0</v>
      </c>
      <c r="AO45" s="12">
        <f t="shared" ref="AO45:CZ48" si="54">IFERROR(IF(AO$38&gt;=$X$10, 0, IF(MOD($AD45+AO$38, $K45)=0, (($M45-$N45)*$Z$11^AO$38), 0)), 0)</f>
        <v>0</v>
      </c>
      <c r="AP45" s="12">
        <f t="shared" si="54"/>
        <v>0</v>
      </c>
      <c r="AQ45" s="12">
        <f t="shared" si="54"/>
        <v>0</v>
      </c>
      <c r="AR45" s="12">
        <f t="shared" si="54"/>
        <v>0</v>
      </c>
      <c r="AS45" s="12">
        <f t="shared" si="54"/>
        <v>0</v>
      </c>
      <c r="AT45" s="12">
        <f t="shared" si="54"/>
        <v>0</v>
      </c>
      <c r="AU45" s="12">
        <f t="shared" si="54"/>
        <v>0</v>
      </c>
      <c r="AV45" s="12">
        <f t="shared" si="54"/>
        <v>0</v>
      </c>
      <c r="AW45" s="12">
        <f t="shared" si="54"/>
        <v>0</v>
      </c>
      <c r="AX45" s="12">
        <f t="shared" si="54"/>
        <v>0</v>
      </c>
      <c r="AY45" s="12">
        <f t="shared" si="54"/>
        <v>0</v>
      </c>
      <c r="AZ45" s="12">
        <f t="shared" si="54"/>
        <v>0</v>
      </c>
      <c r="BA45" s="12">
        <f t="shared" si="54"/>
        <v>0</v>
      </c>
      <c r="BB45" s="12">
        <f t="shared" si="54"/>
        <v>0</v>
      </c>
      <c r="BC45" s="12">
        <f t="shared" si="54"/>
        <v>0</v>
      </c>
      <c r="BD45" s="12">
        <f t="shared" si="54"/>
        <v>0</v>
      </c>
      <c r="BE45" s="12">
        <f t="shared" si="54"/>
        <v>0</v>
      </c>
      <c r="BF45" s="12">
        <f t="shared" si="54"/>
        <v>0</v>
      </c>
      <c r="BG45" s="12">
        <f t="shared" si="54"/>
        <v>0</v>
      </c>
      <c r="BH45" s="12">
        <f t="shared" si="54"/>
        <v>0</v>
      </c>
      <c r="BI45" s="12">
        <f t="shared" si="54"/>
        <v>0</v>
      </c>
      <c r="BJ45" s="12">
        <f t="shared" si="54"/>
        <v>0</v>
      </c>
      <c r="BK45" s="12">
        <f t="shared" si="54"/>
        <v>0</v>
      </c>
      <c r="BL45" s="12">
        <f t="shared" si="54"/>
        <v>0</v>
      </c>
      <c r="BM45" s="12">
        <f t="shared" si="54"/>
        <v>0</v>
      </c>
      <c r="BN45" s="12">
        <f t="shared" si="54"/>
        <v>0</v>
      </c>
      <c r="BO45" s="12">
        <f t="shared" si="54"/>
        <v>0</v>
      </c>
      <c r="BP45" s="12">
        <f t="shared" si="54"/>
        <v>0</v>
      </c>
      <c r="BQ45" s="12">
        <f t="shared" si="54"/>
        <v>0</v>
      </c>
      <c r="BR45" s="12">
        <f t="shared" si="54"/>
        <v>0</v>
      </c>
      <c r="BS45" s="12">
        <f t="shared" si="54"/>
        <v>0</v>
      </c>
      <c r="BT45" s="12">
        <f t="shared" si="54"/>
        <v>0</v>
      </c>
      <c r="BU45" s="12">
        <f t="shared" si="54"/>
        <v>0</v>
      </c>
      <c r="BV45" s="12">
        <f t="shared" si="54"/>
        <v>0</v>
      </c>
      <c r="BW45" s="12">
        <f t="shared" si="54"/>
        <v>0</v>
      </c>
      <c r="BX45" s="12">
        <f t="shared" si="54"/>
        <v>0</v>
      </c>
      <c r="BY45" s="12">
        <f t="shared" si="54"/>
        <v>0</v>
      </c>
      <c r="BZ45" s="12">
        <f t="shared" si="54"/>
        <v>0</v>
      </c>
      <c r="CA45" s="12">
        <f t="shared" si="54"/>
        <v>0</v>
      </c>
      <c r="CB45" s="12">
        <f t="shared" si="54"/>
        <v>0</v>
      </c>
      <c r="CC45" s="12">
        <f t="shared" si="54"/>
        <v>0</v>
      </c>
      <c r="CD45" s="12">
        <f t="shared" si="54"/>
        <v>0</v>
      </c>
      <c r="CE45" s="12">
        <f t="shared" si="54"/>
        <v>0</v>
      </c>
      <c r="CF45" s="12">
        <f t="shared" si="54"/>
        <v>0</v>
      </c>
      <c r="CG45" s="12">
        <f t="shared" si="54"/>
        <v>0</v>
      </c>
      <c r="CH45" s="12">
        <f t="shared" si="54"/>
        <v>0</v>
      </c>
      <c r="CI45" s="12">
        <f t="shared" si="54"/>
        <v>0</v>
      </c>
      <c r="CJ45" s="12">
        <f t="shared" si="54"/>
        <v>0</v>
      </c>
      <c r="CK45" s="12">
        <f t="shared" si="54"/>
        <v>0</v>
      </c>
      <c r="CL45" s="12">
        <f t="shared" si="54"/>
        <v>0</v>
      </c>
      <c r="CM45" s="12">
        <f t="shared" si="54"/>
        <v>0</v>
      </c>
      <c r="CN45" s="12">
        <f t="shared" si="54"/>
        <v>0</v>
      </c>
      <c r="CO45" s="12">
        <f t="shared" si="54"/>
        <v>0</v>
      </c>
      <c r="CP45" s="12">
        <f t="shared" si="54"/>
        <v>0</v>
      </c>
      <c r="CQ45" s="12">
        <f t="shared" si="54"/>
        <v>0</v>
      </c>
      <c r="CR45" s="12">
        <f t="shared" si="54"/>
        <v>0</v>
      </c>
      <c r="CS45" s="12">
        <f t="shared" si="54"/>
        <v>0</v>
      </c>
      <c r="CT45" s="12">
        <f t="shared" si="54"/>
        <v>0</v>
      </c>
      <c r="CU45" s="12">
        <f t="shared" si="54"/>
        <v>0</v>
      </c>
      <c r="CV45" s="12">
        <f t="shared" si="54"/>
        <v>0</v>
      </c>
      <c r="CW45" s="12">
        <f t="shared" si="54"/>
        <v>0</v>
      </c>
      <c r="CX45" s="12">
        <f t="shared" si="54"/>
        <v>0</v>
      </c>
      <c r="CY45" s="12">
        <f t="shared" si="54"/>
        <v>0</v>
      </c>
      <c r="CZ45" s="12">
        <f t="shared" si="54"/>
        <v>0</v>
      </c>
      <c r="DA45" s="12">
        <f t="shared" si="53"/>
        <v>0</v>
      </c>
      <c r="DB45" s="12">
        <f t="shared" si="53"/>
        <v>0</v>
      </c>
      <c r="DC45" s="12">
        <f t="shared" si="53"/>
        <v>0</v>
      </c>
      <c r="DD45" s="12">
        <f t="shared" si="53"/>
        <v>0</v>
      </c>
      <c r="DE45" s="12">
        <f t="shared" si="53"/>
        <v>0</v>
      </c>
      <c r="DF45" s="12">
        <f t="shared" si="53"/>
        <v>0</v>
      </c>
      <c r="DG45" s="12">
        <f t="shared" si="53"/>
        <v>0</v>
      </c>
      <c r="DH45" s="12">
        <f t="shared" si="53"/>
        <v>0</v>
      </c>
      <c r="DI45" s="12">
        <f t="shared" si="53"/>
        <v>0</v>
      </c>
      <c r="DJ45" s="12">
        <f t="shared" si="53"/>
        <v>0</v>
      </c>
      <c r="DK45" s="12">
        <f t="shared" si="53"/>
        <v>0</v>
      </c>
      <c r="DL45" s="12">
        <f t="shared" si="53"/>
        <v>0</v>
      </c>
      <c r="DM45" s="12">
        <f t="shared" si="53"/>
        <v>0</v>
      </c>
      <c r="DN45" s="12">
        <f t="shared" si="53"/>
        <v>0</v>
      </c>
      <c r="DO45" s="12">
        <f t="shared" si="53"/>
        <v>0</v>
      </c>
      <c r="DP45" s="12">
        <f t="shared" si="53"/>
        <v>0</v>
      </c>
      <c r="DQ45" s="12">
        <f t="shared" si="53"/>
        <v>0</v>
      </c>
      <c r="DR45" s="12">
        <f t="shared" si="53"/>
        <v>0</v>
      </c>
      <c r="DS45" s="12">
        <f t="shared" si="53"/>
        <v>0</v>
      </c>
      <c r="DT45" s="12">
        <f t="shared" si="53"/>
        <v>0</v>
      </c>
      <c r="DU45" s="12">
        <f t="shared" si="53"/>
        <v>0</v>
      </c>
      <c r="DV45" s="12">
        <f t="shared" si="53"/>
        <v>0</v>
      </c>
      <c r="DW45" s="12">
        <f t="shared" si="53"/>
        <v>0</v>
      </c>
      <c r="DX45" s="12">
        <f t="shared" si="53"/>
        <v>0</v>
      </c>
      <c r="DY45" s="12">
        <f t="shared" si="53"/>
        <v>0</v>
      </c>
      <c r="DZ45" s="12">
        <f t="shared" si="53"/>
        <v>0</v>
      </c>
      <c r="EA45" s="12">
        <f t="shared" si="53"/>
        <v>0</v>
      </c>
      <c r="EB45" s="12">
        <f t="shared" si="53"/>
        <v>0</v>
      </c>
      <c r="EC45" s="12">
        <f t="shared" si="53"/>
        <v>0</v>
      </c>
      <c r="ED45" s="12">
        <f t="shared" si="53"/>
        <v>0</v>
      </c>
      <c r="EE45" s="12">
        <f t="shared" si="53"/>
        <v>0</v>
      </c>
      <c r="EF45" s="12">
        <f t="shared" si="53"/>
        <v>0</v>
      </c>
      <c r="EG45" s="12">
        <f t="shared" si="53"/>
        <v>0</v>
      </c>
      <c r="EH45" s="12">
        <f t="shared" si="53"/>
        <v>0</v>
      </c>
      <c r="EI45" s="12">
        <f t="shared" si="53"/>
        <v>0</v>
      </c>
      <c r="EJ45" s="12">
        <f t="shared" si="53"/>
        <v>0</v>
      </c>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row>
    <row r="46" spans="1:345" x14ac:dyDescent="0.35">
      <c r="A46" s="132"/>
      <c r="B46" s="27"/>
      <c r="C46" s="170"/>
      <c r="D46" s="170"/>
      <c r="E46" s="103"/>
      <c r="F46" s="105"/>
      <c r="G46" s="36" t="str">
        <f>IFERROR(VLOOKUP(E46, 'General Project Info'!$C$30:$I$40, 7, FALSE), "")</f>
        <v/>
      </c>
      <c r="H46" s="41">
        <f>IFERROR(X46*VLOOKUP(E46, 'General Project Info'!$R$30:$T$40, 3, FALSE), 0)</f>
        <v>0</v>
      </c>
      <c r="I46" s="42">
        <f>IFERROR(IF($T46="Yes", $X46*VLOOKUP($E46, 'General Project Info'!$R$30:$W$40, 5, FALSE), 0), 0)</f>
        <v>0</v>
      </c>
      <c r="J46" s="42">
        <f>IFERROR(IF($T46="No", $X46*VLOOKUP($E46, 'General Project Info'!$R$30:$W$40, 5, FALSE), 0), 0)</f>
        <v>0</v>
      </c>
      <c r="K46" s="108"/>
      <c r="L46" s="108"/>
      <c r="M46" s="109"/>
      <c r="N46" s="109"/>
      <c r="O46" s="109"/>
      <c r="P46" s="43">
        <f t="shared" si="37"/>
        <v>0</v>
      </c>
      <c r="Q46" s="27"/>
      <c r="R46" s="132"/>
      <c r="T46" s="18" t="e">
        <f>VLOOKUP($E46, 'Unit Conversions Array'!$B$4:$Z$23, 25, FALSE)</f>
        <v>#N/A</v>
      </c>
      <c r="U46">
        <f>VLOOKUP(E46, 'General Project Info'!$R$30:$W$40, 6, FALSE)</f>
        <v>1</v>
      </c>
      <c r="V46" s="18">
        <f t="shared" si="38"/>
        <v>0</v>
      </c>
      <c r="W46" s="18">
        <f>IFERROR(F46*INDEX('Unit Conversions Array'!$E$4:$Y$23, MATCH('Scenarios &amp; Measures'!E46, 'Unit Conversions Array'!$B$4:$B$23, 0), MATCH('Scenarios &amp; Measures'!G46, 'Unit Conversions Array'!$E$3:$Y$3, 0)), 0)</f>
        <v>0</v>
      </c>
      <c r="X46" s="19">
        <f t="shared" si="39"/>
        <v>0</v>
      </c>
      <c r="Y46" s="19">
        <f t="shared" si="40"/>
        <v>0</v>
      </c>
      <c r="Z46" s="19">
        <f t="shared" si="41"/>
        <v>0</v>
      </c>
      <c r="AA46" s="17">
        <f t="shared" si="52"/>
        <v>0</v>
      </c>
      <c r="AB46" s="17">
        <f t="shared" si="42"/>
        <v>20</v>
      </c>
      <c r="AC46" s="17">
        <f t="shared" si="43"/>
        <v>-20</v>
      </c>
      <c r="AD46" s="17">
        <f t="shared" si="44"/>
        <v>0</v>
      </c>
      <c r="AE46" s="18">
        <f t="shared" si="45"/>
        <v>0</v>
      </c>
      <c r="AF46" s="19">
        <f t="shared" si="33"/>
        <v>0</v>
      </c>
      <c r="AG46" s="12">
        <f t="shared" si="34"/>
        <v>0</v>
      </c>
      <c r="AH46" s="17">
        <f t="shared" si="46"/>
        <v>0</v>
      </c>
      <c r="AI46" s="23">
        <f>IF($V$10="RECs", -Y46/VLOOKUP("RECs", 'General Project Info'!$R$30:$W$40, 5, FALSE)*$V$11*IF($X$11=$Z$12, $X$10, (1/($Z$12-$X$11))*(1-($X$11/$Z$12)^$X$10)*$Z$12), 0)</f>
        <v>0</v>
      </c>
      <c r="AJ46" s="17">
        <f t="shared" si="47"/>
        <v>0</v>
      </c>
      <c r="AK46" s="17">
        <f t="shared" si="48"/>
        <v>0</v>
      </c>
      <c r="AL46" s="17">
        <f t="shared" si="49"/>
        <v>0</v>
      </c>
      <c r="AN46" s="12">
        <f t="shared" si="50"/>
        <v>0</v>
      </c>
      <c r="AO46" s="12">
        <f t="shared" si="54"/>
        <v>0</v>
      </c>
      <c r="AP46" s="12">
        <f t="shared" si="54"/>
        <v>0</v>
      </c>
      <c r="AQ46" s="12">
        <f t="shared" si="54"/>
        <v>0</v>
      </c>
      <c r="AR46" s="12">
        <f t="shared" si="54"/>
        <v>0</v>
      </c>
      <c r="AS46" s="12">
        <f t="shared" si="54"/>
        <v>0</v>
      </c>
      <c r="AT46" s="12">
        <f t="shared" si="54"/>
        <v>0</v>
      </c>
      <c r="AU46" s="12">
        <f t="shared" si="54"/>
        <v>0</v>
      </c>
      <c r="AV46" s="12">
        <f t="shared" si="54"/>
        <v>0</v>
      </c>
      <c r="AW46" s="12">
        <f t="shared" si="54"/>
        <v>0</v>
      </c>
      <c r="AX46" s="12">
        <f t="shared" si="54"/>
        <v>0</v>
      </c>
      <c r="AY46" s="12">
        <f t="shared" si="54"/>
        <v>0</v>
      </c>
      <c r="AZ46" s="12">
        <f t="shared" si="54"/>
        <v>0</v>
      </c>
      <c r="BA46" s="12">
        <f t="shared" si="54"/>
        <v>0</v>
      </c>
      <c r="BB46" s="12">
        <f t="shared" si="54"/>
        <v>0</v>
      </c>
      <c r="BC46" s="12">
        <f t="shared" si="54"/>
        <v>0</v>
      </c>
      <c r="BD46" s="12">
        <f t="shared" si="54"/>
        <v>0</v>
      </c>
      <c r="BE46" s="12">
        <f t="shared" si="54"/>
        <v>0</v>
      </c>
      <c r="BF46" s="12">
        <f t="shared" si="54"/>
        <v>0</v>
      </c>
      <c r="BG46" s="12">
        <f t="shared" si="54"/>
        <v>0</v>
      </c>
      <c r="BH46" s="12">
        <f t="shared" si="54"/>
        <v>0</v>
      </c>
      <c r="BI46" s="12">
        <f t="shared" si="54"/>
        <v>0</v>
      </c>
      <c r="BJ46" s="12">
        <f t="shared" si="54"/>
        <v>0</v>
      </c>
      <c r="BK46" s="12">
        <f t="shared" si="54"/>
        <v>0</v>
      </c>
      <c r="BL46" s="12">
        <f t="shared" si="54"/>
        <v>0</v>
      </c>
      <c r="BM46" s="12">
        <f t="shared" si="54"/>
        <v>0</v>
      </c>
      <c r="BN46" s="12">
        <f t="shared" si="54"/>
        <v>0</v>
      </c>
      <c r="BO46" s="12">
        <f t="shared" si="54"/>
        <v>0</v>
      </c>
      <c r="BP46" s="12">
        <f t="shared" si="54"/>
        <v>0</v>
      </c>
      <c r="BQ46" s="12">
        <f t="shared" si="54"/>
        <v>0</v>
      </c>
      <c r="BR46" s="12">
        <f t="shared" si="54"/>
        <v>0</v>
      </c>
      <c r="BS46" s="12">
        <f t="shared" si="54"/>
        <v>0</v>
      </c>
      <c r="BT46" s="12">
        <f t="shared" si="54"/>
        <v>0</v>
      </c>
      <c r="BU46" s="12">
        <f t="shared" si="54"/>
        <v>0</v>
      </c>
      <c r="BV46" s="12">
        <f t="shared" si="54"/>
        <v>0</v>
      </c>
      <c r="BW46" s="12">
        <f t="shared" si="54"/>
        <v>0</v>
      </c>
      <c r="BX46" s="12">
        <f t="shared" si="54"/>
        <v>0</v>
      </c>
      <c r="BY46" s="12">
        <f t="shared" si="54"/>
        <v>0</v>
      </c>
      <c r="BZ46" s="12">
        <f t="shared" si="54"/>
        <v>0</v>
      </c>
      <c r="CA46" s="12">
        <f t="shared" si="54"/>
        <v>0</v>
      </c>
      <c r="CB46" s="12">
        <f t="shared" si="54"/>
        <v>0</v>
      </c>
      <c r="CC46" s="12">
        <f t="shared" si="54"/>
        <v>0</v>
      </c>
      <c r="CD46" s="12">
        <f t="shared" si="54"/>
        <v>0</v>
      </c>
      <c r="CE46" s="12">
        <f t="shared" si="54"/>
        <v>0</v>
      </c>
      <c r="CF46" s="12">
        <f t="shared" si="54"/>
        <v>0</v>
      </c>
      <c r="CG46" s="12">
        <f t="shared" si="54"/>
        <v>0</v>
      </c>
      <c r="CH46" s="12">
        <f t="shared" si="54"/>
        <v>0</v>
      </c>
      <c r="CI46" s="12">
        <f t="shared" si="54"/>
        <v>0</v>
      </c>
      <c r="CJ46" s="12">
        <f t="shared" si="54"/>
        <v>0</v>
      </c>
      <c r="CK46" s="12">
        <f t="shared" si="54"/>
        <v>0</v>
      </c>
      <c r="CL46" s="12">
        <f t="shared" si="54"/>
        <v>0</v>
      </c>
      <c r="CM46" s="12">
        <f t="shared" si="54"/>
        <v>0</v>
      </c>
      <c r="CN46" s="12">
        <f t="shared" si="54"/>
        <v>0</v>
      </c>
      <c r="CO46" s="12">
        <f t="shared" si="54"/>
        <v>0</v>
      </c>
      <c r="CP46" s="12">
        <f t="shared" si="54"/>
        <v>0</v>
      </c>
      <c r="CQ46" s="12">
        <f t="shared" si="54"/>
        <v>0</v>
      </c>
      <c r="CR46" s="12">
        <f t="shared" si="54"/>
        <v>0</v>
      </c>
      <c r="CS46" s="12">
        <f t="shared" si="54"/>
        <v>0</v>
      </c>
      <c r="CT46" s="12">
        <f t="shared" si="54"/>
        <v>0</v>
      </c>
      <c r="CU46" s="12">
        <f t="shared" si="54"/>
        <v>0</v>
      </c>
      <c r="CV46" s="12">
        <f t="shared" si="54"/>
        <v>0</v>
      </c>
      <c r="CW46" s="12">
        <f t="shared" si="54"/>
        <v>0</v>
      </c>
      <c r="CX46" s="12">
        <f t="shared" si="54"/>
        <v>0</v>
      </c>
      <c r="CY46" s="12">
        <f t="shared" si="54"/>
        <v>0</v>
      </c>
      <c r="CZ46" s="12">
        <f t="shared" si="54"/>
        <v>0</v>
      </c>
      <c r="DA46" s="12">
        <f t="shared" si="53"/>
        <v>0</v>
      </c>
      <c r="DB46" s="12">
        <f t="shared" si="53"/>
        <v>0</v>
      </c>
      <c r="DC46" s="12">
        <f t="shared" si="53"/>
        <v>0</v>
      </c>
      <c r="DD46" s="12">
        <f t="shared" si="53"/>
        <v>0</v>
      </c>
      <c r="DE46" s="12">
        <f t="shared" si="53"/>
        <v>0</v>
      </c>
      <c r="DF46" s="12">
        <f t="shared" si="53"/>
        <v>0</v>
      </c>
      <c r="DG46" s="12">
        <f t="shared" si="53"/>
        <v>0</v>
      </c>
      <c r="DH46" s="12">
        <f t="shared" si="53"/>
        <v>0</v>
      </c>
      <c r="DI46" s="12">
        <f t="shared" si="53"/>
        <v>0</v>
      </c>
      <c r="DJ46" s="12">
        <f t="shared" si="53"/>
        <v>0</v>
      </c>
      <c r="DK46" s="12">
        <f t="shared" si="53"/>
        <v>0</v>
      </c>
      <c r="DL46" s="12">
        <f t="shared" si="53"/>
        <v>0</v>
      </c>
      <c r="DM46" s="12">
        <f t="shared" si="53"/>
        <v>0</v>
      </c>
      <c r="DN46" s="12">
        <f t="shared" si="53"/>
        <v>0</v>
      </c>
      <c r="DO46" s="12">
        <f t="shared" si="53"/>
        <v>0</v>
      </c>
      <c r="DP46" s="12">
        <f t="shared" si="53"/>
        <v>0</v>
      </c>
      <c r="DQ46" s="12">
        <f t="shared" si="53"/>
        <v>0</v>
      </c>
      <c r="DR46" s="12">
        <f t="shared" si="53"/>
        <v>0</v>
      </c>
      <c r="DS46" s="12">
        <f t="shared" si="53"/>
        <v>0</v>
      </c>
      <c r="DT46" s="12">
        <f t="shared" si="53"/>
        <v>0</v>
      </c>
      <c r="DU46" s="12">
        <f t="shared" si="53"/>
        <v>0</v>
      </c>
      <c r="DV46" s="12">
        <f t="shared" si="53"/>
        <v>0</v>
      </c>
      <c r="DW46" s="12">
        <f t="shared" si="53"/>
        <v>0</v>
      </c>
      <c r="DX46" s="12">
        <f t="shared" si="53"/>
        <v>0</v>
      </c>
      <c r="DY46" s="12">
        <f t="shared" si="53"/>
        <v>0</v>
      </c>
      <c r="DZ46" s="12">
        <f t="shared" si="53"/>
        <v>0</v>
      </c>
      <c r="EA46" s="12">
        <f t="shared" si="53"/>
        <v>0</v>
      </c>
      <c r="EB46" s="12">
        <f t="shared" si="53"/>
        <v>0</v>
      </c>
      <c r="EC46" s="12">
        <f t="shared" si="53"/>
        <v>0</v>
      </c>
      <c r="ED46" s="12">
        <f t="shared" si="53"/>
        <v>0</v>
      </c>
      <c r="EE46" s="12">
        <f t="shared" si="53"/>
        <v>0</v>
      </c>
      <c r="EF46" s="12">
        <f t="shared" si="53"/>
        <v>0</v>
      </c>
      <c r="EG46" s="12">
        <f t="shared" si="53"/>
        <v>0</v>
      </c>
      <c r="EH46" s="12">
        <f t="shared" si="53"/>
        <v>0</v>
      </c>
      <c r="EI46" s="12">
        <f t="shared" si="53"/>
        <v>0</v>
      </c>
      <c r="EJ46" s="12">
        <f t="shared" si="53"/>
        <v>0</v>
      </c>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row>
    <row r="47" spans="1:345" x14ac:dyDescent="0.35">
      <c r="A47" s="132"/>
      <c r="B47" s="27"/>
      <c r="C47" s="170"/>
      <c r="D47" s="170"/>
      <c r="E47" s="103"/>
      <c r="F47" s="105"/>
      <c r="G47" s="36" t="str">
        <f>IFERROR(VLOOKUP(E47, 'General Project Info'!$C$30:$I$40, 7, FALSE), "")</f>
        <v/>
      </c>
      <c r="H47" s="41">
        <f>IFERROR(X47*VLOOKUP(E47, 'General Project Info'!$R$30:$T$40, 3, FALSE), 0)</f>
        <v>0</v>
      </c>
      <c r="I47" s="42">
        <f>IFERROR(IF($T47="Yes", $X47*VLOOKUP($E47, 'General Project Info'!$R$30:$W$40, 5, FALSE), 0), 0)</f>
        <v>0</v>
      </c>
      <c r="J47" s="42">
        <f>IFERROR(IF($T47="No", $X47*VLOOKUP($E47, 'General Project Info'!$R$30:$W$40, 5, FALSE), 0), 0)</f>
        <v>0</v>
      </c>
      <c r="K47" s="108"/>
      <c r="L47" s="108"/>
      <c r="M47" s="109"/>
      <c r="N47" s="109"/>
      <c r="O47" s="109"/>
      <c r="P47" s="43">
        <f t="shared" si="37"/>
        <v>0</v>
      </c>
      <c r="Q47" s="27"/>
      <c r="R47" s="132"/>
      <c r="T47" s="18" t="e">
        <f>VLOOKUP($E47, 'Unit Conversions Array'!$B$4:$Z$23, 25, FALSE)</f>
        <v>#N/A</v>
      </c>
      <c r="U47">
        <f>VLOOKUP(E47, 'General Project Info'!$R$30:$W$40, 6, FALSE)</f>
        <v>1</v>
      </c>
      <c r="V47" s="18">
        <f t="shared" si="38"/>
        <v>0</v>
      </c>
      <c r="W47" s="18">
        <f>IFERROR(F47*INDEX('Unit Conversions Array'!$E$4:$Y$23, MATCH('Scenarios &amp; Measures'!E47, 'Unit Conversions Array'!$B$4:$B$23, 0), MATCH('Scenarios &amp; Measures'!G47, 'Unit Conversions Array'!$E$3:$Y$3, 0)), 0)</f>
        <v>0</v>
      </c>
      <c r="X47" s="19">
        <f t="shared" si="39"/>
        <v>0</v>
      </c>
      <c r="Y47" s="19">
        <f t="shared" si="40"/>
        <v>0</v>
      </c>
      <c r="Z47" s="19">
        <f t="shared" si="41"/>
        <v>0</v>
      </c>
      <c r="AA47" s="17">
        <f t="shared" si="52"/>
        <v>0</v>
      </c>
      <c r="AB47" s="17">
        <f t="shared" si="42"/>
        <v>20</v>
      </c>
      <c r="AC47" s="17">
        <f t="shared" si="43"/>
        <v>-20</v>
      </c>
      <c r="AD47" s="17">
        <f t="shared" si="44"/>
        <v>0</v>
      </c>
      <c r="AE47" s="18">
        <f t="shared" si="45"/>
        <v>0</v>
      </c>
      <c r="AF47" s="19">
        <f t="shared" si="33"/>
        <v>0</v>
      </c>
      <c r="AG47" s="12">
        <f t="shared" si="34"/>
        <v>0</v>
      </c>
      <c r="AH47" s="17">
        <f t="shared" si="46"/>
        <v>0</v>
      </c>
      <c r="AI47" s="23">
        <f>IF($V$10="RECs", -Y47/VLOOKUP("RECs", 'General Project Info'!$R$30:$W$40, 5, FALSE)*$V$11*IF($X$11=$Z$12, $X$10, (1/($Z$12-$X$11))*(1-($X$11/$Z$12)^$X$10)*$Z$12), 0)</f>
        <v>0</v>
      </c>
      <c r="AJ47" s="17">
        <f t="shared" si="47"/>
        <v>0</v>
      </c>
      <c r="AK47" s="17">
        <f t="shared" si="48"/>
        <v>0</v>
      </c>
      <c r="AL47" s="17">
        <f t="shared" si="49"/>
        <v>0</v>
      </c>
      <c r="AN47" s="12">
        <f t="shared" si="50"/>
        <v>0</v>
      </c>
      <c r="AO47" s="12">
        <f t="shared" si="54"/>
        <v>0</v>
      </c>
      <c r="AP47" s="12">
        <f t="shared" si="54"/>
        <v>0</v>
      </c>
      <c r="AQ47" s="12">
        <f t="shared" si="54"/>
        <v>0</v>
      </c>
      <c r="AR47" s="12">
        <f t="shared" si="54"/>
        <v>0</v>
      </c>
      <c r="AS47" s="12">
        <f t="shared" si="54"/>
        <v>0</v>
      </c>
      <c r="AT47" s="12">
        <f t="shared" si="54"/>
        <v>0</v>
      </c>
      <c r="AU47" s="12">
        <f t="shared" si="54"/>
        <v>0</v>
      </c>
      <c r="AV47" s="12">
        <f t="shared" si="54"/>
        <v>0</v>
      </c>
      <c r="AW47" s="12">
        <f t="shared" si="54"/>
        <v>0</v>
      </c>
      <c r="AX47" s="12">
        <f t="shared" si="54"/>
        <v>0</v>
      </c>
      <c r="AY47" s="12">
        <f t="shared" si="54"/>
        <v>0</v>
      </c>
      <c r="AZ47" s="12">
        <f t="shared" si="54"/>
        <v>0</v>
      </c>
      <c r="BA47" s="12">
        <f t="shared" si="54"/>
        <v>0</v>
      </c>
      <c r="BB47" s="12">
        <f t="shared" si="54"/>
        <v>0</v>
      </c>
      <c r="BC47" s="12">
        <f t="shared" si="54"/>
        <v>0</v>
      </c>
      <c r="BD47" s="12">
        <f t="shared" si="54"/>
        <v>0</v>
      </c>
      <c r="BE47" s="12">
        <f t="shared" si="54"/>
        <v>0</v>
      </c>
      <c r="BF47" s="12">
        <f t="shared" si="54"/>
        <v>0</v>
      </c>
      <c r="BG47" s="12">
        <f t="shared" si="54"/>
        <v>0</v>
      </c>
      <c r="BH47" s="12">
        <f t="shared" si="54"/>
        <v>0</v>
      </c>
      <c r="BI47" s="12">
        <f t="shared" si="54"/>
        <v>0</v>
      </c>
      <c r="BJ47" s="12">
        <f t="shared" si="54"/>
        <v>0</v>
      </c>
      <c r="BK47" s="12">
        <f t="shared" si="54"/>
        <v>0</v>
      </c>
      <c r="BL47" s="12">
        <f t="shared" si="54"/>
        <v>0</v>
      </c>
      <c r="BM47" s="12">
        <f t="shared" si="54"/>
        <v>0</v>
      </c>
      <c r="BN47" s="12">
        <f t="shared" si="54"/>
        <v>0</v>
      </c>
      <c r="BO47" s="12">
        <f t="shared" si="54"/>
        <v>0</v>
      </c>
      <c r="BP47" s="12">
        <f t="shared" si="54"/>
        <v>0</v>
      </c>
      <c r="BQ47" s="12">
        <f t="shared" si="54"/>
        <v>0</v>
      </c>
      <c r="BR47" s="12">
        <f t="shared" si="54"/>
        <v>0</v>
      </c>
      <c r="BS47" s="12">
        <f t="shared" si="54"/>
        <v>0</v>
      </c>
      <c r="BT47" s="12">
        <f t="shared" si="54"/>
        <v>0</v>
      </c>
      <c r="BU47" s="12">
        <f t="shared" si="54"/>
        <v>0</v>
      </c>
      <c r="BV47" s="12">
        <f t="shared" si="54"/>
        <v>0</v>
      </c>
      <c r="BW47" s="12">
        <f t="shared" si="54"/>
        <v>0</v>
      </c>
      <c r="BX47" s="12">
        <f t="shared" si="54"/>
        <v>0</v>
      </c>
      <c r="BY47" s="12">
        <f t="shared" si="54"/>
        <v>0</v>
      </c>
      <c r="BZ47" s="12">
        <f t="shared" si="54"/>
        <v>0</v>
      </c>
      <c r="CA47" s="12">
        <f t="shared" si="54"/>
        <v>0</v>
      </c>
      <c r="CB47" s="12">
        <f t="shared" si="54"/>
        <v>0</v>
      </c>
      <c r="CC47" s="12">
        <f t="shared" si="54"/>
        <v>0</v>
      </c>
      <c r="CD47" s="12">
        <f t="shared" si="54"/>
        <v>0</v>
      </c>
      <c r="CE47" s="12">
        <f t="shared" si="54"/>
        <v>0</v>
      </c>
      <c r="CF47" s="12">
        <f t="shared" si="54"/>
        <v>0</v>
      </c>
      <c r="CG47" s="12">
        <f t="shared" si="54"/>
        <v>0</v>
      </c>
      <c r="CH47" s="12">
        <f t="shared" si="54"/>
        <v>0</v>
      </c>
      <c r="CI47" s="12">
        <f t="shared" si="54"/>
        <v>0</v>
      </c>
      <c r="CJ47" s="12">
        <f t="shared" si="54"/>
        <v>0</v>
      </c>
      <c r="CK47" s="12">
        <f t="shared" si="54"/>
        <v>0</v>
      </c>
      <c r="CL47" s="12">
        <f t="shared" si="54"/>
        <v>0</v>
      </c>
      <c r="CM47" s="12">
        <f t="shared" si="54"/>
        <v>0</v>
      </c>
      <c r="CN47" s="12">
        <f t="shared" si="54"/>
        <v>0</v>
      </c>
      <c r="CO47" s="12">
        <f t="shared" si="54"/>
        <v>0</v>
      </c>
      <c r="CP47" s="12">
        <f t="shared" si="54"/>
        <v>0</v>
      </c>
      <c r="CQ47" s="12">
        <f t="shared" si="54"/>
        <v>0</v>
      </c>
      <c r="CR47" s="12">
        <f t="shared" si="54"/>
        <v>0</v>
      </c>
      <c r="CS47" s="12">
        <f t="shared" si="54"/>
        <v>0</v>
      </c>
      <c r="CT47" s="12">
        <f t="shared" si="54"/>
        <v>0</v>
      </c>
      <c r="CU47" s="12">
        <f t="shared" si="54"/>
        <v>0</v>
      </c>
      <c r="CV47" s="12">
        <f t="shared" si="54"/>
        <v>0</v>
      </c>
      <c r="CW47" s="12">
        <f t="shared" si="54"/>
        <v>0</v>
      </c>
      <c r="CX47" s="12">
        <f t="shared" si="54"/>
        <v>0</v>
      </c>
      <c r="CY47" s="12">
        <f t="shared" si="54"/>
        <v>0</v>
      </c>
      <c r="CZ47" s="12">
        <f t="shared" si="54"/>
        <v>0</v>
      </c>
      <c r="DA47" s="12">
        <f t="shared" si="53"/>
        <v>0</v>
      </c>
      <c r="DB47" s="12">
        <f t="shared" si="53"/>
        <v>0</v>
      </c>
      <c r="DC47" s="12">
        <f t="shared" si="53"/>
        <v>0</v>
      </c>
      <c r="DD47" s="12">
        <f t="shared" si="53"/>
        <v>0</v>
      </c>
      <c r="DE47" s="12">
        <f t="shared" si="53"/>
        <v>0</v>
      </c>
      <c r="DF47" s="12">
        <f t="shared" si="53"/>
        <v>0</v>
      </c>
      <c r="DG47" s="12">
        <f t="shared" si="53"/>
        <v>0</v>
      </c>
      <c r="DH47" s="12">
        <f t="shared" si="53"/>
        <v>0</v>
      </c>
      <c r="DI47" s="12">
        <f t="shared" si="53"/>
        <v>0</v>
      </c>
      <c r="DJ47" s="12">
        <f t="shared" si="53"/>
        <v>0</v>
      </c>
      <c r="DK47" s="12">
        <f t="shared" si="53"/>
        <v>0</v>
      </c>
      <c r="DL47" s="12">
        <f t="shared" si="53"/>
        <v>0</v>
      </c>
      <c r="DM47" s="12">
        <f t="shared" si="53"/>
        <v>0</v>
      </c>
      <c r="DN47" s="12">
        <f t="shared" si="53"/>
        <v>0</v>
      </c>
      <c r="DO47" s="12">
        <f t="shared" si="53"/>
        <v>0</v>
      </c>
      <c r="DP47" s="12">
        <f t="shared" si="53"/>
        <v>0</v>
      </c>
      <c r="DQ47" s="12">
        <f t="shared" si="53"/>
        <v>0</v>
      </c>
      <c r="DR47" s="12">
        <f t="shared" si="53"/>
        <v>0</v>
      </c>
      <c r="DS47" s="12">
        <f t="shared" si="53"/>
        <v>0</v>
      </c>
      <c r="DT47" s="12">
        <f t="shared" si="53"/>
        <v>0</v>
      </c>
      <c r="DU47" s="12">
        <f t="shared" si="53"/>
        <v>0</v>
      </c>
      <c r="DV47" s="12">
        <f t="shared" si="53"/>
        <v>0</v>
      </c>
      <c r="DW47" s="12">
        <f t="shared" si="53"/>
        <v>0</v>
      </c>
      <c r="DX47" s="12">
        <f t="shared" si="53"/>
        <v>0</v>
      </c>
      <c r="DY47" s="12">
        <f t="shared" si="53"/>
        <v>0</v>
      </c>
      <c r="DZ47" s="12">
        <f t="shared" si="53"/>
        <v>0</v>
      </c>
      <c r="EA47" s="12">
        <f t="shared" si="53"/>
        <v>0</v>
      </c>
      <c r="EB47" s="12">
        <f t="shared" si="53"/>
        <v>0</v>
      </c>
      <c r="EC47" s="12">
        <f t="shared" si="53"/>
        <v>0</v>
      </c>
      <c r="ED47" s="12">
        <f t="shared" si="53"/>
        <v>0</v>
      </c>
      <c r="EE47" s="12">
        <f t="shared" si="53"/>
        <v>0</v>
      </c>
      <c r="EF47" s="12">
        <f t="shared" si="53"/>
        <v>0</v>
      </c>
      <c r="EG47" s="12">
        <f t="shared" si="53"/>
        <v>0</v>
      </c>
      <c r="EH47" s="12">
        <f t="shared" si="53"/>
        <v>0</v>
      </c>
      <c r="EI47" s="12">
        <f t="shared" si="53"/>
        <v>0</v>
      </c>
      <c r="EJ47" s="12">
        <f t="shared" si="53"/>
        <v>0</v>
      </c>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row>
    <row r="48" spans="1:345" x14ac:dyDescent="0.35">
      <c r="A48" s="132"/>
      <c r="B48" s="27"/>
      <c r="C48" s="170"/>
      <c r="D48" s="170"/>
      <c r="E48" s="103"/>
      <c r="F48" s="105"/>
      <c r="G48" s="36" t="str">
        <f>IFERROR(VLOOKUP(E48, 'General Project Info'!$C$30:$I$40, 7, FALSE), "")</f>
        <v/>
      </c>
      <c r="H48" s="41">
        <f>IFERROR(X48*VLOOKUP(E48, 'General Project Info'!$R$30:$T$40, 3, FALSE), 0)</f>
        <v>0</v>
      </c>
      <c r="I48" s="42">
        <f>IFERROR(IF($T48="Yes", $X48*VLOOKUP($E48, 'General Project Info'!$R$30:$W$40, 5, FALSE), 0), 0)</f>
        <v>0</v>
      </c>
      <c r="J48" s="42">
        <f>IFERROR(IF($T48="No", $X48*VLOOKUP($E48, 'General Project Info'!$R$30:$W$40, 5, FALSE), 0), 0)</f>
        <v>0</v>
      </c>
      <c r="K48" s="108"/>
      <c r="L48" s="108"/>
      <c r="M48" s="109"/>
      <c r="N48" s="109"/>
      <c r="O48" s="109"/>
      <c r="P48" s="43">
        <f t="shared" si="37"/>
        <v>0</v>
      </c>
      <c r="Q48" s="27"/>
      <c r="R48" s="132"/>
      <c r="T48" s="18" t="e">
        <f>VLOOKUP($E48, 'Unit Conversions Array'!$B$4:$Z$23, 25, FALSE)</f>
        <v>#N/A</v>
      </c>
      <c r="U48">
        <f>VLOOKUP(E48, 'General Project Info'!$R$30:$W$40, 6, FALSE)</f>
        <v>1</v>
      </c>
      <c r="V48" s="18">
        <f t="shared" si="38"/>
        <v>0</v>
      </c>
      <c r="W48" s="18">
        <f>IFERROR(F48*INDEX('Unit Conversions Array'!$E$4:$Y$23, MATCH('Scenarios &amp; Measures'!E48, 'Unit Conversions Array'!$B$4:$B$23, 0), MATCH('Scenarios &amp; Measures'!G48, 'Unit Conversions Array'!$E$3:$Y$3, 0)), 0)</f>
        <v>0</v>
      </c>
      <c r="X48" s="19">
        <f t="shared" si="39"/>
        <v>0</v>
      </c>
      <c r="Y48" s="19">
        <f t="shared" si="40"/>
        <v>0</v>
      </c>
      <c r="Z48" s="19">
        <f t="shared" si="41"/>
        <v>0</v>
      </c>
      <c r="AA48" s="17">
        <f t="shared" si="52"/>
        <v>0</v>
      </c>
      <c r="AB48" s="17">
        <f t="shared" si="42"/>
        <v>20</v>
      </c>
      <c r="AC48" s="17">
        <f t="shared" si="43"/>
        <v>-20</v>
      </c>
      <c r="AD48" s="17">
        <f t="shared" si="44"/>
        <v>0</v>
      </c>
      <c r="AE48" s="18">
        <f t="shared" si="45"/>
        <v>0</v>
      </c>
      <c r="AF48" s="19">
        <f t="shared" si="33"/>
        <v>0</v>
      </c>
      <c r="AG48" s="12">
        <f t="shared" si="34"/>
        <v>0</v>
      </c>
      <c r="AH48" s="17">
        <f t="shared" si="46"/>
        <v>0</v>
      </c>
      <c r="AI48" s="23">
        <f>IF($V$10="RECs", -Y48/VLOOKUP("RECs", 'General Project Info'!$R$30:$W$40, 5, FALSE)*$V$11*IF($X$11=$Z$12, $X$10, (1/($Z$12-$X$11))*(1-($X$11/$Z$12)^$X$10)*$Z$12), 0)</f>
        <v>0</v>
      </c>
      <c r="AJ48" s="17">
        <f t="shared" si="47"/>
        <v>0</v>
      </c>
      <c r="AK48" s="17">
        <f t="shared" si="48"/>
        <v>0</v>
      </c>
      <c r="AL48" s="17">
        <f t="shared" si="49"/>
        <v>0</v>
      </c>
      <c r="AN48" s="12">
        <f t="shared" si="50"/>
        <v>0</v>
      </c>
      <c r="AO48" s="12">
        <f t="shared" si="54"/>
        <v>0</v>
      </c>
      <c r="AP48" s="12">
        <f t="shared" si="54"/>
        <v>0</v>
      </c>
      <c r="AQ48" s="12">
        <f t="shared" si="54"/>
        <v>0</v>
      </c>
      <c r="AR48" s="12">
        <f t="shared" si="54"/>
        <v>0</v>
      </c>
      <c r="AS48" s="12">
        <f t="shared" si="54"/>
        <v>0</v>
      </c>
      <c r="AT48" s="12">
        <f t="shared" si="54"/>
        <v>0</v>
      </c>
      <c r="AU48" s="12">
        <f t="shared" si="54"/>
        <v>0</v>
      </c>
      <c r="AV48" s="12">
        <f t="shared" si="54"/>
        <v>0</v>
      </c>
      <c r="AW48" s="12">
        <f t="shared" si="54"/>
        <v>0</v>
      </c>
      <c r="AX48" s="12">
        <f t="shared" si="54"/>
        <v>0</v>
      </c>
      <c r="AY48" s="12">
        <f t="shared" si="54"/>
        <v>0</v>
      </c>
      <c r="AZ48" s="12">
        <f t="shared" si="54"/>
        <v>0</v>
      </c>
      <c r="BA48" s="12">
        <f t="shared" si="54"/>
        <v>0</v>
      </c>
      <c r="BB48" s="12">
        <f t="shared" si="54"/>
        <v>0</v>
      </c>
      <c r="BC48" s="12">
        <f t="shared" si="54"/>
        <v>0</v>
      </c>
      <c r="BD48" s="12">
        <f t="shared" si="54"/>
        <v>0</v>
      </c>
      <c r="BE48" s="12">
        <f t="shared" si="54"/>
        <v>0</v>
      </c>
      <c r="BF48" s="12">
        <f t="shared" si="54"/>
        <v>0</v>
      </c>
      <c r="BG48" s="12">
        <f t="shared" si="54"/>
        <v>0</v>
      </c>
      <c r="BH48" s="12">
        <f t="shared" si="54"/>
        <v>0</v>
      </c>
      <c r="BI48" s="12">
        <f t="shared" si="54"/>
        <v>0</v>
      </c>
      <c r="BJ48" s="12">
        <f t="shared" si="54"/>
        <v>0</v>
      </c>
      <c r="BK48" s="12">
        <f t="shared" si="54"/>
        <v>0</v>
      </c>
      <c r="BL48" s="12">
        <f t="shared" si="54"/>
        <v>0</v>
      </c>
      <c r="BM48" s="12">
        <f t="shared" si="54"/>
        <v>0</v>
      </c>
      <c r="BN48" s="12">
        <f t="shared" si="54"/>
        <v>0</v>
      </c>
      <c r="BO48" s="12">
        <f t="shared" si="54"/>
        <v>0</v>
      </c>
      <c r="BP48" s="12">
        <f t="shared" si="54"/>
        <v>0</v>
      </c>
      <c r="BQ48" s="12">
        <f t="shared" si="54"/>
        <v>0</v>
      </c>
      <c r="BR48" s="12">
        <f t="shared" si="54"/>
        <v>0</v>
      </c>
      <c r="BS48" s="12">
        <f t="shared" si="54"/>
        <v>0</v>
      </c>
      <c r="BT48" s="12">
        <f t="shared" si="54"/>
        <v>0</v>
      </c>
      <c r="BU48" s="12">
        <f t="shared" si="54"/>
        <v>0</v>
      </c>
      <c r="BV48" s="12">
        <f t="shared" si="54"/>
        <v>0</v>
      </c>
      <c r="BW48" s="12">
        <f t="shared" si="54"/>
        <v>0</v>
      </c>
      <c r="BX48" s="12">
        <f t="shared" si="54"/>
        <v>0</v>
      </c>
      <c r="BY48" s="12">
        <f t="shared" si="54"/>
        <v>0</v>
      </c>
      <c r="BZ48" s="12">
        <f t="shared" si="54"/>
        <v>0</v>
      </c>
      <c r="CA48" s="12">
        <f t="shared" si="54"/>
        <v>0</v>
      </c>
      <c r="CB48" s="12">
        <f t="shared" si="54"/>
        <v>0</v>
      </c>
      <c r="CC48" s="12">
        <f t="shared" si="54"/>
        <v>0</v>
      </c>
      <c r="CD48" s="12">
        <f t="shared" si="54"/>
        <v>0</v>
      </c>
      <c r="CE48" s="12">
        <f t="shared" si="54"/>
        <v>0</v>
      </c>
      <c r="CF48" s="12">
        <f t="shared" si="54"/>
        <v>0</v>
      </c>
      <c r="CG48" s="12">
        <f t="shared" si="54"/>
        <v>0</v>
      </c>
      <c r="CH48" s="12">
        <f t="shared" si="54"/>
        <v>0</v>
      </c>
      <c r="CI48" s="12">
        <f t="shared" si="54"/>
        <v>0</v>
      </c>
      <c r="CJ48" s="12">
        <f t="shared" si="54"/>
        <v>0</v>
      </c>
      <c r="CK48" s="12">
        <f t="shared" si="54"/>
        <v>0</v>
      </c>
      <c r="CL48" s="12">
        <f t="shared" si="54"/>
        <v>0</v>
      </c>
      <c r="CM48" s="12">
        <f t="shared" si="54"/>
        <v>0</v>
      </c>
      <c r="CN48" s="12">
        <f t="shared" si="54"/>
        <v>0</v>
      </c>
      <c r="CO48" s="12">
        <f t="shared" si="54"/>
        <v>0</v>
      </c>
      <c r="CP48" s="12">
        <f t="shared" si="54"/>
        <v>0</v>
      </c>
      <c r="CQ48" s="12">
        <f t="shared" si="54"/>
        <v>0</v>
      </c>
      <c r="CR48" s="12">
        <f t="shared" si="54"/>
        <v>0</v>
      </c>
      <c r="CS48" s="12">
        <f t="shared" si="54"/>
        <v>0</v>
      </c>
      <c r="CT48" s="12">
        <f t="shared" si="54"/>
        <v>0</v>
      </c>
      <c r="CU48" s="12">
        <f t="shared" si="54"/>
        <v>0</v>
      </c>
      <c r="CV48" s="12">
        <f t="shared" si="54"/>
        <v>0</v>
      </c>
      <c r="CW48" s="12">
        <f t="shared" si="54"/>
        <v>0</v>
      </c>
      <c r="CX48" s="12">
        <f t="shared" si="54"/>
        <v>0</v>
      </c>
      <c r="CY48" s="12">
        <f t="shared" si="54"/>
        <v>0</v>
      </c>
      <c r="CZ48" s="12">
        <f t="shared" ref="CZ48:EJ51" si="55">IFERROR(IF(CZ$38&gt;=$X$10, 0, IF(MOD($AD48+CZ$38, $K48)=0, (($M48-$N48)*$Z$11^CZ$38), 0)), 0)</f>
        <v>0</v>
      </c>
      <c r="DA48" s="12">
        <f t="shared" si="55"/>
        <v>0</v>
      </c>
      <c r="DB48" s="12">
        <f t="shared" si="55"/>
        <v>0</v>
      </c>
      <c r="DC48" s="12">
        <f t="shared" si="55"/>
        <v>0</v>
      </c>
      <c r="DD48" s="12">
        <f t="shared" si="55"/>
        <v>0</v>
      </c>
      <c r="DE48" s="12">
        <f t="shared" si="55"/>
        <v>0</v>
      </c>
      <c r="DF48" s="12">
        <f t="shared" si="55"/>
        <v>0</v>
      </c>
      <c r="DG48" s="12">
        <f t="shared" si="55"/>
        <v>0</v>
      </c>
      <c r="DH48" s="12">
        <f t="shared" si="55"/>
        <v>0</v>
      </c>
      <c r="DI48" s="12">
        <f t="shared" si="55"/>
        <v>0</v>
      </c>
      <c r="DJ48" s="12">
        <f t="shared" si="55"/>
        <v>0</v>
      </c>
      <c r="DK48" s="12">
        <f t="shared" si="55"/>
        <v>0</v>
      </c>
      <c r="DL48" s="12">
        <f t="shared" si="55"/>
        <v>0</v>
      </c>
      <c r="DM48" s="12">
        <f t="shared" si="55"/>
        <v>0</v>
      </c>
      <c r="DN48" s="12">
        <f t="shared" si="55"/>
        <v>0</v>
      </c>
      <c r="DO48" s="12">
        <f t="shared" si="55"/>
        <v>0</v>
      </c>
      <c r="DP48" s="12">
        <f t="shared" si="55"/>
        <v>0</v>
      </c>
      <c r="DQ48" s="12">
        <f t="shared" si="55"/>
        <v>0</v>
      </c>
      <c r="DR48" s="12">
        <f t="shared" si="55"/>
        <v>0</v>
      </c>
      <c r="DS48" s="12">
        <f t="shared" si="55"/>
        <v>0</v>
      </c>
      <c r="DT48" s="12">
        <f t="shared" si="55"/>
        <v>0</v>
      </c>
      <c r="DU48" s="12">
        <f t="shared" si="55"/>
        <v>0</v>
      </c>
      <c r="DV48" s="12">
        <f t="shared" si="55"/>
        <v>0</v>
      </c>
      <c r="DW48" s="12">
        <f t="shared" si="55"/>
        <v>0</v>
      </c>
      <c r="DX48" s="12">
        <f t="shared" si="55"/>
        <v>0</v>
      </c>
      <c r="DY48" s="12">
        <f t="shared" si="55"/>
        <v>0</v>
      </c>
      <c r="DZ48" s="12">
        <f t="shared" si="55"/>
        <v>0</v>
      </c>
      <c r="EA48" s="12">
        <f t="shared" si="55"/>
        <v>0</v>
      </c>
      <c r="EB48" s="12">
        <f t="shared" si="55"/>
        <v>0</v>
      </c>
      <c r="EC48" s="12">
        <f t="shared" si="55"/>
        <v>0</v>
      </c>
      <c r="ED48" s="12">
        <f t="shared" si="55"/>
        <v>0</v>
      </c>
      <c r="EE48" s="12">
        <f t="shared" si="55"/>
        <v>0</v>
      </c>
      <c r="EF48" s="12">
        <f t="shared" si="55"/>
        <v>0</v>
      </c>
      <c r="EG48" s="12">
        <f t="shared" si="55"/>
        <v>0</v>
      </c>
      <c r="EH48" s="12">
        <f t="shared" si="55"/>
        <v>0</v>
      </c>
      <c r="EI48" s="12">
        <f t="shared" si="55"/>
        <v>0</v>
      </c>
      <c r="EJ48" s="12">
        <f t="shared" si="55"/>
        <v>0</v>
      </c>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row>
    <row r="49" spans="1:345" x14ac:dyDescent="0.35">
      <c r="A49" s="132"/>
      <c r="B49" s="27"/>
      <c r="C49" s="170"/>
      <c r="D49" s="170"/>
      <c r="E49" s="103"/>
      <c r="F49" s="105"/>
      <c r="G49" s="36" t="str">
        <f>IFERROR(VLOOKUP(E49, 'General Project Info'!$C$30:$I$40, 7, FALSE), "")</f>
        <v/>
      </c>
      <c r="H49" s="41">
        <f>IFERROR(X49*VLOOKUP(E49, 'General Project Info'!$R$30:$T$40, 3, FALSE), 0)</f>
        <v>0</v>
      </c>
      <c r="I49" s="42">
        <f>IFERROR(IF($T49="Yes", $X49*VLOOKUP($E49, 'General Project Info'!$R$30:$W$40, 5, FALSE), 0), 0)</f>
        <v>0</v>
      </c>
      <c r="J49" s="42">
        <f>IFERROR(IF($T49="No", $X49*VLOOKUP($E49, 'General Project Info'!$R$30:$W$40, 5, FALSE), 0), 0)</f>
        <v>0</v>
      </c>
      <c r="K49" s="108"/>
      <c r="L49" s="108"/>
      <c r="M49" s="109"/>
      <c r="N49" s="109"/>
      <c r="O49" s="109"/>
      <c r="P49" s="43">
        <f t="shared" si="37"/>
        <v>0</v>
      </c>
      <c r="Q49" s="27"/>
      <c r="R49" s="132"/>
      <c r="T49" s="18" t="e">
        <f>VLOOKUP($E49, 'Unit Conversions Array'!$B$4:$Z$23, 25, FALSE)</f>
        <v>#N/A</v>
      </c>
      <c r="U49">
        <f>VLOOKUP(E49, 'General Project Info'!$R$30:$W$40, 6, FALSE)</f>
        <v>1</v>
      </c>
      <c r="V49" s="18">
        <f t="shared" si="38"/>
        <v>0</v>
      </c>
      <c r="W49" s="18">
        <f>IFERROR(F49*INDEX('Unit Conversions Array'!$E$4:$Y$23, MATCH('Scenarios &amp; Measures'!E49, 'Unit Conversions Array'!$B$4:$B$23, 0), MATCH('Scenarios &amp; Measures'!G49, 'Unit Conversions Array'!$E$3:$Y$3, 0)), 0)</f>
        <v>0</v>
      </c>
      <c r="X49" s="19">
        <f t="shared" si="39"/>
        <v>0</v>
      </c>
      <c r="Y49" s="19">
        <f t="shared" si="40"/>
        <v>0</v>
      </c>
      <c r="Z49" s="19">
        <f t="shared" si="41"/>
        <v>0</v>
      </c>
      <c r="AA49" s="17">
        <f t="shared" si="52"/>
        <v>0</v>
      </c>
      <c r="AB49" s="17">
        <f t="shared" si="42"/>
        <v>20</v>
      </c>
      <c r="AC49" s="17">
        <f t="shared" si="43"/>
        <v>-20</v>
      </c>
      <c r="AD49" s="17">
        <f t="shared" si="44"/>
        <v>0</v>
      </c>
      <c r="AE49" s="18">
        <f t="shared" si="45"/>
        <v>0</v>
      </c>
      <c r="AF49" s="19">
        <f t="shared" si="33"/>
        <v>0</v>
      </c>
      <c r="AG49" s="12">
        <f t="shared" si="34"/>
        <v>0</v>
      </c>
      <c r="AH49" s="17">
        <f t="shared" si="46"/>
        <v>0</v>
      </c>
      <c r="AI49" s="23">
        <f>IF($V$10="RECs", -Y49/VLOOKUP("RECs", 'General Project Info'!$R$30:$W$40, 5, FALSE)*$V$11*IF($X$11=$Z$12, $X$10, (1/($Z$12-$X$11))*(1-($X$11/$Z$12)^$X$10)*$Z$12), 0)</f>
        <v>0</v>
      </c>
      <c r="AJ49" s="17">
        <f t="shared" si="47"/>
        <v>0</v>
      </c>
      <c r="AK49" s="17">
        <f t="shared" si="48"/>
        <v>0</v>
      </c>
      <c r="AL49" s="17">
        <f t="shared" si="49"/>
        <v>0</v>
      </c>
      <c r="AN49" s="12">
        <f t="shared" si="50"/>
        <v>0</v>
      </c>
      <c r="AO49" s="12">
        <f t="shared" ref="AO49:CZ52" si="56">IFERROR(IF(AO$38&gt;=$X$10, 0, IF(MOD($AD49+AO$38, $K49)=0, (($M49-$N49)*$Z$11^AO$38), 0)), 0)</f>
        <v>0</v>
      </c>
      <c r="AP49" s="12">
        <f t="shared" si="56"/>
        <v>0</v>
      </c>
      <c r="AQ49" s="12">
        <f t="shared" si="56"/>
        <v>0</v>
      </c>
      <c r="AR49" s="12">
        <f t="shared" si="56"/>
        <v>0</v>
      </c>
      <c r="AS49" s="12">
        <f t="shared" si="56"/>
        <v>0</v>
      </c>
      <c r="AT49" s="12">
        <f t="shared" si="56"/>
        <v>0</v>
      </c>
      <c r="AU49" s="12">
        <f t="shared" si="56"/>
        <v>0</v>
      </c>
      <c r="AV49" s="12">
        <f t="shared" si="56"/>
        <v>0</v>
      </c>
      <c r="AW49" s="12">
        <f t="shared" si="56"/>
        <v>0</v>
      </c>
      <c r="AX49" s="12">
        <f t="shared" si="56"/>
        <v>0</v>
      </c>
      <c r="AY49" s="12">
        <f t="shared" si="56"/>
        <v>0</v>
      </c>
      <c r="AZ49" s="12">
        <f t="shared" si="56"/>
        <v>0</v>
      </c>
      <c r="BA49" s="12">
        <f t="shared" si="56"/>
        <v>0</v>
      </c>
      <c r="BB49" s="12">
        <f t="shared" si="56"/>
        <v>0</v>
      </c>
      <c r="BC49" s="12">
        <f t="shared" si="56"/>
        <v>0</v>
      </c>
      <c r="BD49" s="12">
        <f t="shared" si="56"/>
        <v>0</v>
      </c>
      <c r="BE49" s="12">
        <f t="shared" si="56"/>
        <v>0</v>
      </c>
      <c r="BF49" s="12">
        <f t="shared" si="56"/>
        <v>0</v>
      </c>
      <c r="BG49" s="12">
        <f t="shared" si="56"/>
        <v>0</v>
      </c>
      <c r="BH49" s="12">
        <f t="shared" si="56"/>
        <v>0</v>
      </c>
      <c r="BI49" s="12">
        <f t="shared" si="56"/>
        <v>0</v>
      </c>
      <c r="BJ49" s="12">
        <f t="shared" si="56"/>
        <v>0</v>
      </c>
      <c r="BK49" s="12">
        <f t="shared" si="56"/>
        <v>0</v>
      </c>
      <c r="BL49" s="12">
        <f t="shared" si="56"/>
        <v>0</v>
      </c>
      <c r="BM49" s="12">
        <f t="shared" si="56"/>
        <v>0</v>
      </c>
      <c r="BN49" s="12">
        <f t="shared" si="56"/>
        <v>0</v>
      </c>
      <c r="BO49" s="12">
        <f t="shared" si="56"/>
        <v>0</v>
      </c>
      <c r="BP49" s="12">
        <f t="shared" si="56"/>
        <v>0</v>
      </c>
      <c r="BQ49" s="12">
        <f t="shared" si="56"/>
        <v>0</v>
      </c>
      <c r="BR49" s="12">
        <f t="shared" si="56"/>
        <v>0</v>
      </c>
      <c r="BS49" s="12">
        <f t="shared" si="56"/>
        <v>0</v>
      </c>
      <c r="BT49" s="12">
        <f t="shared" si="56"/>
        <v>0</v>
      </c>
      <c r="BU49" s="12">
        <f t="shared" si="56"/>
        <v>0</v>
      </c>
      <c r="BV49" s="12">
        <f t="shared" si="56"/>
        <v>0</v>
      </c>
      <c r="BW49" s="12">
        <f t="shared" si="56"/>
        <v>0</v>
      </c>
      <c r="BX49" s="12">
        <f t="shared" si="56"/>
        <v>0</v>
      </c>
      <c r="BY49" s="12">
        <f t="shared" si="56"/>
        <v>0</v>
      </c>
      <c r="BZ49" s="12">
        <f t="shared" si="56"/>
        <v>0</v>
      </c>
      <c r="CA49" s="12">
        <f t="shared" si="56"/>
        <v>0</v>
      </c>
      <c r="CB49" s="12">
        <f t="shared" si="56"/>
        <v>0</v>
      </c>
      <c r="CC49" s="12">
        <f t="shared" si="56"/>
        <v>0</v>
      </c>
      <c r="CD49" s="12">
        <f t="shared" si="56"/>
        <v>0</v>
      </c>
      <c r="CE49" s="12">
        <f t="shared" si="56"/>
        <v>0</v>
      </c>
      <c r="CF49" s="12">
        <f t="shared" si="56"/>
        <v>0</v>
      </c>
      <c r="CG49" s="12">
        <f t="shared" si="56"/>
        <v>0</v>
      </c>
      <c r="CH49" s="12">
        <f t="shared" si="56"/>
        <v>0</v>
      </c>
      <c r="CI49" s="12">
        <f t="shared" si="56"/>
        <v>0</v>
      </c>
      <c r="CJ49" s="12">
        <f t="shared" si="56"/>
        <v>0</v>
      </c>
      <c r="CK49" s="12">
        <f t="shared" si="56"/>
        <v>0</v>
      </c>
      <c r="CL49" s="12">
        <f t="shared" si="56"/>
        <v>0</v>
      </c>
      <c r="CM49" s="12">
        <f t="shared" si="56"/>
        <v>0</v>
      </c>
      <c r="CN49" s="12">
        <f t="shared" si="56"/>
        <v>0</v>
      </c>
      <c r="CO49" s="12">
        <f t="shared" si="56"/>
        <v>0</v>
      </c>
      <c r="CP49" s="12">
        <f t="shared" si="56"/>
        <v>0</v>
      </c>
      <c r="CQ49" s="12">
        <f t="shared" si="56"/>
        <v>0</v>
      </c>
      <c r="CR49" s="12">
        <f t="shared" si="56"/>
        <v>0</v>
      </c>
      <c r="CS49" s="12">
        <f t="shared" si="56"/>
        <v>0</v>
      </c>
      <c r="CT49" s="12">
        <f t="shared" si="56"/>
        <v>0</v>
      </c>
      <c r="CU49" s="12">
        <f t="shared" si="56"/>
        <v>0</v>
      </c>
      <c r="CV49" s="12">
        <f t="shared" si="56"/>
        <v>0</v>
      </c>
      <c r="CW49" s="12">
        <f t="shared" si="56"/>
        <v>0</v>
      </c>
      <c r="CX49" s="12">
        <f t="shared" si="56"/>
        <v>0</v>
      </c>
      <c r="CY49" s="12">
        <f t="shared" si="56"/>
        <v>0</v>
      </c>
      <c r="CZ49" s="12">
        <f t="shared" si="56"/>
        <v>0</v>
      </c>
      <c r="DA49" s="12">
        <f t="shared" si="55"/>
        <v>0</v>
      </c>
      <c r="DB49" s="12">
        <f t="shared" si="55"/>
        <v>0</v>
      </c>
      <c r="DC49" s="12">
        <f t="shared" si="55"/>
        <v>0</v>
      </c>
      <c r="DD49" s="12">
        <f t="shared" si="55"/>
        <v>0</v>
      </c>
      <c r="DE49" s="12">
        <f t="shared" si="55"/>
        <v>0</v>
      </c>
      <c r="DF49" s="12">
        <f t="shared" si="55"/>
        <v>0</v>
      </c>
      <c r="DG49" s="12">
        <f t="shared" si="55"/>
        <v>0</v>
      </c>
      <c r="DH49" s="12">
        <f t="shared" si="55"/>
        <v>0</v>
      </c>
      <c r="DI49" s="12">
        <f t="shared" si="55"/>
        <v>0</v>
      </c>
      <c r="DJ49" s="12">
        <f t="shared" si="55"/>
        <v>0</v>
      </c>
      <c r="DK49" s="12">
        <f t="shared" si="55"/>
        <v>0</v>
      </c>
      <c r="DL49" s="12">
        <f t="shared" si="55"/>
        <v>0</v>
      </c>
      <c r="DM49" s="12">
        <f t="shared" si="55"/>
        <v>0</v>
      </c>
      <c r="DN49" s="12">
        <f t="shared" si="55"/>
        <v>0</v>
      </c>
      <c r="DO49" s="12">
        <f t="shared" si="55"/>
        <v>0</v>
      </c>
      <c r="DP49" s="12">
        <f t="shared" si="55"/>
        <v>0</v>
      </c>
      <c r="DQ49" s="12">
        <f t="shared" si="55"/>
        <v>0</v>
      </c>
      <c r="DR49" s="12">
        <f t="shared" si="55"/>
        <v>0</v>
      </c>
      <c r="DS49" s="12">
        <f t="shared" si="55"/>
        <v>0</v>
      </c>
      <c r="DT49" s="12">
        <f t="shared" si="55"/>
        <v>0</v>
      </c>
      <c r="DU49" s="12">
        <f t="shared" si="55"/>
        <v>0</v>
      </c>
      <c r="DV49" s="12">
        <f t="shared" si="55"/>
        <v>0</v>
      </c>
      <c r="DW49" s="12">
        <f t="shared" si="55"/>
        <v>0</v>
      </c>
      <c r="DX49" s="12">
        <f t="shared" si="55"/>
        <v>0</v>
      </c>
      <c r="DY49" s="12">
        <f t="shared" si="55"/>
        <v>0</v>
      </c>
      <c r="DZ49" s="12">
        <f t="shared" si="55"/>
        <v>0</v>
      </c>
      <c r="EA49" s="12">
        <f t="shared" si="55"/>
        <v>0</v>
      </c>
      <c r="EB49" s="12">
        <f t="shared" si="55"/>
        <v>0</v>
      </c>
      <c r="EC49" s="12">
        <f t="shared" si="55"/>
        <v>0</v>
      </c>
      <c r="ED49" s="12">
        <f t="shared" si="55"/>
        <v>0</v>
      </c>
      <c r="EE49" s="12">
        <f t="shared" si="55"/>
        <v>0</v>
      </c>
      <c r="EF49" s="12">
        <f t="shared" si="55"/>
        <v>0</v>
      </c>
      <c r="EG49" s="12">
        <f t="shared" si="55"/>
        <v>0</v>
      </c>
      <c r="EH49" s="12">
        <f t="shared" si="55"/>
        <v>0</v>
      </c>
      <c r="EI49" s="12">
        <f t="shared" si="55"/>
        <v>0</v>
      </c>
      <c r="EJ49" s="12">
        <f t="shared" si="55"/>
        <v>0</v>
      </c>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row>
    <row r="50" spans="1:345" x14ac:dyDescent="0.35">
      <c r="A50" s="132"/>
      <c r="B50" s="27"/>
      <c r="C50" s="170"/>
      <c r="D50" s="170"/>
      <c r="E50" s="103"/>
      <c r="F50" s="105"/>
      <c r="G50" s="36" t="str">
        <f>IFERROR(VLOOKUP(E50, 'General Project Info'!$C$30:$I$40, 7, FALSE), "")</f>
        <v/>
      </c>
      <c r="H50" s="41">
        <f>IFERROR(X50*VLOOKUP(E50, 'General Project Info'!$R$30:$T$40, 3, FALSE), 0)</f>
        <v>0</v>
      </c>
      <c r="I50" s="42">
        <f>IFERROR(IF($T50="Yes", $X50*VLOOKUP($E50, 'General Project Info'!$R$30:$W$40, 5, FALSE), 0), 0)</f>
        <v>0</v>
      </c>
      <c r="J50" s="42">
        <f>IFERROR(IF($T50="No", $X50*VLOOKUP($E50, 'General Project Info'!$R$30:$W$40, 5, FALSE), 0), 0)</f>
        <v>0</v>
      </c>
      <c r="K50" s="108"/>
      <c r="L50" s="108"/>
      <c r="M50" s="109"/>
      <c r="N50" s="109"/>
      <c r="O50" s="109"/>
      <c r="P50" s="43">
        <f t="shared" si="37"/>
        <v>0</v>
      </c>
      <c r="Q50" s="27"/>
      <c r="R50" s="132"/>
      <c r="T50" s="18" t="e">
        <f>VLOOKUP($E50, 'Unit Conversions Array'!$B$4:$Z$23, 25, FALSE)</f>
        <v>#N/A</v>
      </c>
      <c r="U50">
        <f>VLOOKUP(E50, 'General Project Info'!$R$30:$W$40, 6, FALSE)</f>
        <v>1</v>
      </c>
      <c r="V50" s="18">
        <f t="shared" si="38"/>
        <v>0</v>
      </c>
      <c r="W50" s="18">
        <f>IFERROR(F50*INDEX('Unit Conversions Array'!$E$4:$Y$23, MATCH('Scenarios &amp; Measures'!E50, 'Unit Conversions Array'!$B$4:$B$23, 0), MATCH('Scenarios &amp; Measures'!G50, 'Unit Conversions Array'!$E$3:$Y$3, 0)), 0)</f>
        <v>0</v>
      </c>
      <c r="X50" s="19">
        <f t="shared" si="39"/>
        <v>0</v>
      </c>
      <c r="Y50" s="19">
        <f t="shared" si="40"/>
        <v>0</v>
      </c>
      <c r="Z50" s="19">
        <f t="shared" si="41"/>
        <v>0</v>
      </c>
      <c r="AA50" s="17">
        <f t="shared" si="52"/>
        <v>0</v>
      </c>
      <c r="AB50" s="17">
        <f t="shared" si="42"/>
        <v>20</v>
      </c>
      <c r="AC50" s="17">
        <f t="shared" si="43"/>
        <v>-20</v>
      </c>
      <c r="AD50" s="17">
        <f t="shared" si="44"/>
        <v>0</v>
      </c>
      <c r="AE50" s="18">
        <f t="shared" si="45"/>
        <v>0</v>
      </c>
      <c r="AF50" s="19">
        <f t="shared" si="33"/>
        <v>0</v>
      </c>
      <c r="AG50" s="12">
        <f t="shared" si="34"/>
        <v>0</v>
      </c>
      <c r="AH50" s="17">
        <f t="shared" si="46"/>
        <v>0</v>
      </c>
      <c r="AI50" s="23">
        <f>IF($V$10="RECs", -Y50/VLOOKUP("RECs", 'General Project Info'!$R$30:$W$40, 5, FALSE)*$V$11*IF($X$11=$Z$12, $X$10, (1/($Z$12-$X$11))*(1-($X$11/$Z$12)^$X$10)*$Z$12), 0)</f>
        <v>0</v>
      </c>
      <c r="AJ50" s="17">
        <f t="shared" si="47"/>
        <v>0</v>
      </c>
      <c r="AK50" s="17">
        <f t="shared" si="48"/>
        <v>0</v>
      </c>
      <c r="AL50" s="17">
        <f t="shared" si="49"/>
        <v>0</v>
      </c>
      <c r="AN50" s="12">
        <f t="shared" si="50"/>
        <v>0</v>
      </c>
      <c r="AO50" s="12">
        <f t="shared" si="56"/>
        <v>0</v>
      </c>
      <c r="AP50" s="12">
        <f t="shared" si="56"/>
        <v>0</v>
      </c>
      <c r="AQ50" s="12">
        <f t="shared" si="56"/>
        <v>0</v>
      </c>
      <c r="AR50" s="12">
        <f t="shared" si="56"/>
        <v>0</v>
      </c>
      <c r="AS50" s="12">
        <f t="shared" si="56"/>
        <v>0</v>
      </c>
      <c r="AT50" s="12">
        <f t="shared" si="56"/>
        <v>0</v>
      </c>
      <c r="AU50" s="12">
        <f t="shared" si="56"/>
        <v>0</v>
      </c>
      <c r="AV50" s="12">
        <f t="shared" si="56"/>
        <v>0</v>
      </c>
      <c r="AW50" s="12">
        <f t="shared" si="56"/>
        <v>0</v>
      </c>
      <c r="AX50" s="12">
        <f t="shared" si="56"/>
        <v>0</v>
      </c>
      <c r="AY50" s="12">
        <f t="shared" si="56"/>
        <v>0</v>
      </c>
      <c r="AZ50" s="12">
        <f t="shared" si="56"/>
        <v>0</v>
      </c>
      <c r="BA50" s="12">
        <f t="shared" si="56"/>
        <v>0</v>
      </c>
      <c r="BB50" s="12">
        <f t="shared" si="56"/>
        <v>0</v>
      </c>
      <c r="BC50" s="12">
        <f t="shared" si="56"/>
        <v>0</v>
      </c>
      <c r="BD50" s="12">
        <f t="shared" si="56"/>
        <v>0</v>
      </c>
      <c r="BE50" s="12">
        <f t="shared" si="56"/>
        <v>0</v>
      </c>
      <c r="BF50" s="12">
        <f t="shared" si="56"/>
        <v>0</v>
      </c>
      <c r="BG50" s="12">
        <f t="shared" si="56"/>
        <v>0</v>
      </c>
      <c r="BH50" s="12">
        <f t="shared" si="56"/>
        <v>0</v>
      </c>
      <c r="BI50" s="12">
        <f t="shared" si="56"/>
        <v>0</v>
      </c>
      <c r="BJ50" s="12">
        <f t="shared" si="56"/>
        <v>0</v>
      </c>
      <c r="BK50" s="12">
        <f t="shared" si="56"/>
        <v>0</v>
      </c>
      <c r="BL50" s="12">
        <f t="shared" si="56"/>
        <v>0</v>
      </c>
      <c r="BM50" s="12">
        <f t="shared" si="56"/>
        <v>0</v>
      </c>
      <c r="BN50" s="12">
        <f t="shared" si="56"/>
        <v>0</v>
      </c>
      <c r="BO50" s="12">
        <f t="shared" si="56"/>
        <v>0</v>
      </c>
      <c r="BP50" s="12">
        <f t="shared" si="56"/>
        <v>0</v>
      </c>
      <c r="BQ50" s="12">
        <f t="shared" si="56"/>
        <v>0</v>
      </c>
      <c r="BR50" s="12">
        <f t="shared" si="56"/>
        <v>0</v>
      </c>
      <c r="BS50" s="12">
        <f t="shared" si="56"/>
        <v>0</v>
      </c>
      <c r="BT50" s="12">
        <f t="shared" si="56"/>
        <v>0</v>
      </c>
      <c r="BU50" s="12">
        <f t="shared" si="56"/>
        <v>0</v>
      </c>
      <c r="BV50" s="12">
        <f t="shared" si="56"/>
        <v>0</v>
      </c>
      <c r="BW50" s="12">
        <f t="shared" si="56"/>
        <v>0</v>
      </c>
      <c r="BX50" s="12">
        <f t="shared" si="56"/>
        <v>0</v>
      </c>
      <c r="BY50" s="12">
        <f t="shared" si="56"/>
        <v>0</v>
      </c>
      <c r="BZ50" s="12">
        <f t="shared" si="56"/>
        <v>0</v>
      </c>
      <c r="CA50" s="12">
        <f t="shared" si="56"/>
        <v>0</v>
      </c>
      <c r="CB50" s="12">
        <f t="shared" si="56"/>
        <v>0</v>
      </c>
      <c r="CC50" s="12">
        <f t="shared" si="56"/>
        <v>0</v>
      </c>
      <c r="CD50" s="12">
        <f t="shared" si="56"/>
        <v>0</v>
      </c>
      <c r="CE50" s="12">
        <f t="shared" si="56"/>
        <v>0</v>
      </c>
      <c r="CF50" s="12">
        <f t="shared" si="56"/>
        <v>0</v>
      </c>
      <c r="CG50" s="12">
        <f t="shared" si="56"/>
        <v>0</v>
      </c>
      <c r="CH50" s="12">
        <f t="shared" si="56"/>
        <v>0</v>
      </c>
      <c r="CI50" s="12">
        <f t="shared" si="56"/>
        <v>0</v>
      </c>
      <c r="CJ50" s="12">
        <f t="shared" si="56"/>
        <v>0</v>
      </c>
      <c r="CK50" s="12">
        <f t="shared" si="56"/>
        <v>0</v>
      </c>
      <c r="CL50" s="12">
        <f t="shared" si="56"/>
        <v>0</v>
      </c>
      <c r="CM50" s="12">
        <f t="shared" si="56"/>
        <v>0</v>
      </c>
      <c r="CN50" s="12">
        <f t="shared" si="56"/>
        <v>0</v>
      </c>
      <c r="CO50" s="12">
        <f t="shared" si="56"/>
        <v>0</v>
      </c>
      <c r="CP50" s="12">
        <f t="shared" si="56"/>
        <v>0</v>
      </c>
      <c r="CQ50" s="12">
        <f t="shared" si="56"/>
        <v>0</v>
      </c>
      <c r="CR50" s="12">
        <f t="shared" si="56"/>
        <v>0</v>
      </c>
      <c r="CS50" s="12">
        <f t="shared" si="56"/>
        <v>0</v>
      </c>
      <c r="CT50" s="12">
        <f t="shared" si="56"/>
        <v>0</v>
      </c>
      <c r="CU50" s="12">
        <f t="shared" si="56"/>
        <v>0</v>
      </c>
      <c r="CV50" s="12">
        <f t="shared" si="56"/>
        <v>0</v>
      </c>
      <c r="CW50" s="12">
        <f t="shared" si="56"/>
        <v>0</v>
      </c>
      <c r="CX50" s="12">
        <f t="shared" si="56"/>
        <v>0</v>
      </c>
      <c r="CY50" s="12">
        <f t="shared" si="56"/>
        <v>0</v>
      </c>
      <c r="CZ50" s="12">
        <f t="shared" si="56"/>
        <v>0</v>
      </c>
      <c r="DA50" s="12">
        <f t="shared" si="55"/>
        <v>0</v>
      </c>
      <c r="DB50" s="12">
        <f t="shared" si="55"/>
        <v>0</v>
      </c>
      <c r="DC50" s="12">
        <f t="shared" si="55"/>
        <v>0</v>
      </c>
      <c r="DD50" s="12">
        <f t="shared" si="55"/>
        <v>0</v>
      </c>
      <c r="DE50" s="12">
        <f t="shared" si="55"/>
        <v>0</v>
      </c>
      <c r="DF50" s="12">
        <f t="shared" si="55"/>
        <v>0</v>
      </c>
      <c r="DG50" s="12">
        <f t="shared" si="55"/>
        <v>0</v>
      </c>
      <c r="DH50" s="12">
        <f t="shared" si="55"/>
        <v>0</v>
      </c>
      <c r="DI50" s="12">
        <f t="shared" si="55"/>
        <v>0</v>
      </c>
      <c r="DJ50" s="12">
        <f t="shared" si="55"/>
        <v>0</v>
      </c>
      <c r="DK50" s="12">
        <f t="shared" si="55"/>
        <v>0</v>
      </c>
      <c r="DL50" s="12">
        <f t="shared" si="55"/>
        <v>0</v>
      </c>
      <c r="DM50" s="12">
        <f t="shared" si="55"/>
        <v>0</v>
      </c>
      <c r="DN50" s="12">
        <f t="shared" si="55"/>
        <v>0</v>
      </c>
      <c r="DO50" s="12">
        <f t="shared" si="55"/>
        <v>0</v>
      </c>
      <c r="DP50" s="12">
        <f t="shared" si="55"/>
        <v>0</v>
      </c>
      <c r="DQ50" s="12">
        <f t="shared" si="55"/>
        <v>0</v>
      </c>
      <c r="DR50" s="12">
        <f t="shared" si="55"/>
        <v>0</v>
      </c>
      <c r="DS50" s="12">
        <f t="shared" si="55"/>
        <v>0</v>
      </c>
      <c r="DT50" s="12">
        <f t="shared" si="55"/>
        <v>0</v>
      </c>
      <c r="DU50" s="12">
        <f t="shared" si="55"/>
        <v>0</v>
      </c>
      <c r="DV50" s="12">
        <f t="shared" si="55"/>
        <v>0</v>
      </c>
      <c r="DW50" s="12">
        <f t="shared" si="55"/>
        <v>0</v>
      </c>
      <c r="DX50" s="12">
        <f t="shared" si="55"/>
        <v>0</v>
      </c>
      <c r="DY50" s="12">
        <f t="shared" si="55"/>
        <v>0</v>
      </c>
      <c r="DZ50" s="12">
        <f t="shared" si="55"/>
        <v>0</v>
      </c>
      <c r="EA50" s="12">
        <f t="shared" si="55"/>
        <v>0</v>
      </c>
      <c r="EB50" s="12">
        <f t="shared" si="55"/>
        <v>0</v>
      </c>
      <c r="EC50" s="12">
        <f t="shared" si="55"/>
        <v>0</v>
      </c>
      <c r="ED50" s="12">
        <f t="shared" si="55"/>
        <v>0</v>
      </c>
      <c r="EE50" s="12">
        <f t="shared" si="55"/>
        <v>0</v>
      </c>
      <c r="EF50" s="12">
        <f t="shared" si="55"/>
        <v>0</v>
      </c>
      <c r="EG50" s="12">
        <f t="shared" si="55"/>
        <v>0</v>
      </c>
      <c r="EH50" s="12">
        <f t="shared" si="55"/>
        <v>0</v>
      </c>
      <c r="EI50" s="12">
        <f t="shared" si="55"/>
        <v>0</v>
      </c>
      <c r="EJ50" s="12">
        <f t="shared" si="55"/>
        <v>0</v>
      </c>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row>
    <row r="51" spans="1:345" x14ac:dyDescent="0.35">
      <c r="A51" s="132"/>
      <c r="B51" s="27"/>
      <c r="C51" s="170"/>
      <c r="D51" s="170"/>
      <c r="E51" s="103"/>
      <c r="F51" s="105"/>
      <c r="G51" s="36" t="str">
        <f>IFERROR(VLOOKUP(E51, 'General Project Info'!$C$30:$I$40, 7, FALSE), "")</f>
        <v/>
      </c>
      <c r="H51" s="41">
        <f>IFERROR(X51*VLOOKUP(E51, 'General Project Info'!$R$30:$T$40, 3, FALSE), 0)</f>
        <v>0</v>
      </c>
      <c r="I51" s="42">
        <f>IFERROR(IF($T51="Yes", $X51*VLOOKUP($E51, 'General Project Info'!$R$30:$W$40, 5, FALSE), 0), 0)</f>
        <v>0</v>
      </c>
      <c r="J51" s="42">
        <f>IFERROR(IF($T51="No", $X51*VLOOKUP($E51, 'General Project Info'!$R$30:$W$40, 5, FALSE), 0), 0)</f>
        <v>0</v>
      </c>
      <c r="K51" s="108"/>
      <c r="L51" s="108"/>
      <c r="M51" s="109"/>
      <c r="N51" s="109"/>
      <c r="O51" s="109"/>
      <c r="P51" s="43">
        <f t="shared" si="37"/>
        <v>0</v>
      </c>
      <c r="Q51" s="27"/>
      <c r="R51" s="132"/>
      <c r="T51" s="18" t="e">
        <f>VLOOKUP($E51, 'Unit Conversions Array'!$B$4:$Z$23, 25, FALSE)</f>
        <v>#N/A</v>
      </c>
      <c r="U51">
        <f>VLOOKUP(E51, 'General Project Info'!$R$30:$W$40, 6, FALSE)</f>
        <v>1</v>
      </c>
      <c r="V51" s="18">
        <f t="shared" si="38"/>
        <v>0</v>
      </c>
      <c r="W51" s="18">
        <f>IFERROR(F51*INDEX('Unit Conversions Array'!$E$4:$Y$23, MATCH('Scenarios &amp; Measures'!E51, 'Unit Conversions Array'!$B$4:$B$23, 0), MATCH('Scenarios &amp; Measures'!G51, 'Unit Conversions Array'!$E$3:$Y$3, 0)), 0)</f>
        <v>0</v>
      </c>
      <c r="X51" s="19">
        <f t="shared" si="39"/>
        <v>0</v>
      </c>
      <c r="Y51" s="19">
        <f t="shared" si="40"/>
        <v>0</v>
      </c>
      <c r="Z51" s="19">
        <f t="shared" si="41"/>
        <v>0</v>
      </c>
      <c r="AA51" s="17">
        <f t="shared" si="52"/>
        <v>0</v>
      </c>
      <c r="AB51" s="17">
        <f t="shared" si="42"/>
        <v>20</v>
      </c>
      <c r="AC51" s="17">
        <f t="shared" si="43"/>
        <v>-20</v>
      </c>
      <c r="AD51" s="17">
        <f t="shared" si="44"/>
        <v>0</v>
      </c>
      <c r="AE51" s="18">
        <f t="shared" si="45"/>
        <v>0</v>
      </c>
      <c r="AF51" s="19">
        <f t="shared" si="33"/>
        <v>0</v>
      </c>
      <c r="AG51" s="12">
        <f t="shared" si="34"/>
        <v>0</v>
      </c>
      <c r="AH51" s="17">
        <f t="shared" si="46"/>
        <v>0</v>
      </c>
      <c r="AI51" s="23">
        <f>IF($V$10="RECs", -Y51/VLOOKUP("RECs", 'General Project Info'!$R$30:$W$40, 5, FALSE)*$V$11*IF($X$11=$Z$12, $X$10, (1/($Z$12-$X$11))*(1-($X$11/$Z$12)^$X$10)*$Z$12), 0)</f>
        <v>0</v>
      </c>
      <c r="AJ51" s="17">
        <f t="shared" si="47"/>
        <v>0</v>
      </c>
      <c r="AK51" s="17">
        <f t="shared" si="48"/>
        <v>0</v>
      </c>
      <c r="AL51" s="17">
        <f t="shared" si="49"/>
        <v>0</v>
      </c>
      <c r="AN51" s="12">
        <f t="shared" si="50"/>
        <v>0</v>
      </c>
      <c r="AO51" s="12">
        <f t="shared" si="56"/>
        <v>0</v>
      </c>
      <c r="AP51" s="12">
        <f t="shared" si="56"/>
        <v>0</v>
      </c>
      <c r="AQ51" s="12">
        <f t="shared" si="56"/>
        <v>0</v>
      </c>
      <c r="AR51" s="12">
        <f t="shared" si="56"/>
        <v>0</v>
      </c>
      <c r="AS51" s="12">
        <f t="shared" si="56"/>
        <v>0</v>
      </c>
      <c r="AT51" s="12">
        <f t="shared" si="56"/>
        <v>0</v>
      </c>
      <c r="AU51" s="12">
        <f t="shared" si="56"/>
        <v>0</v>
      </c>
      <c r="AV51" s="12">
        <f t="shared" si="56"/>
        <v>0</v>
      </c>
      <c r="AW51" s="12">
        <f t="shared" si="56"/>
        <v>0</v>
      </c>
      <c r="AX51" s="12">
        <f t="shared" si="56"/>
        <v>0</v>
      </c>
      <c r="AY51" s="12">
        <f t="shared" si="56"/>
        <v>0</v>
      </c>
      <c r="AZ51" s="12">
        <f t="shared" si="56"/>
        <v>0</v>
      </c>
      <c r="BA51" s="12">
        <f t="shared" si="56"/>
        <v>0</v>
      </c>
      <c r="BB51" s="12">
        <f t="shared" si="56"/>
        <v>0</v>
      </c>
      <c r="BC51" s="12">
        <f t="shared" si="56"/>
        <v>0</v>
      </c>
      <c r="BD51" s="12">
        <f t="shared" si="56"/>
        <v>0</v>
      </c>
      <c r="BE51" s="12">
        <f t="shared" si="56"/>
        <v>0</v>
      </c>
      <c r="BF51" s="12">
        <f t="shared" si="56"/>
        <v>0</v>
      </c>
      <c r="BG51" s="12">
        <f t="shared" si="56"/>
        <v>0</v>
      </c>
      <c r="BH51" s="12">
        <f t="shared" si="56"/>
        <v>0</v>
      </c>
      <c r="BI51" s="12">
        <f t="shared" si="56"/>
        <v>0</v>
      </c>
      <c r="BJ51" s="12">
        <f t="shared" si="56"/>
        <v>0</v>
      </c>
      <c r="BK51" s="12">
        <f t="shared" si="56"/>
        <v>0</v>
      </c>
      <c r="BL51" s="12">
        <f t="shared" si="56"/>
        <v>0</v>
      </c>
      <c r="BM51" s="12">
        <f t="shared" si="56"/>
        <v>0</v>
      </c>
      <c r="BN51" s="12">
        <f t="shared" si="56"/>
        <v>0</v>
      </c>
      <c r="BO51" s="12">
        <f t="shared" si="56"/>
        <v>0</v>
      </c>
      <c r="BP51" s="12">
        <f t="shared" si="56"/>
        <v>0</v>
      </c>
      <c r="BQ51" s="12">
        <f t="shared" si="56"/>
        <v>0</v>
      </c>
      <c r="BR51" s="12">
        <f t="shared" si="56"/>
        <v>0</v>
      </c>
      <c r="BS51" s="12">
        <f t="shared" si="56"/>
        <v>0</v>
      </c>
      <c r="BT51" s="12">
        <f t="shared" si="56"/>
        <v>0</v>
      </c>
      <c r="BU51" s="12">
        <f t="shared" si="56"/>
        <v>0</v>
      </c>
      <c r="BV51" s="12">
        <f t="shared" si="56"/>
        <v>0</v>
      </c>
      <c r="BW51" s="12">
        <f t="shared" si="56"/>
        <v>0</v>
      </c>
      <c r="BX51" s="12">
        <f t="shared" si="56"/>
        <v>0</v>
      </c>
      <c r="BY51" s="12">
        <f t="shared" si="56"/>
        <v>0</v>
      </c>
      <c r="BZ51" s="12">
        <f t="shared" si="56"/>
        <v>0</v>
      </c>
      <c r="CA51" s="12">
        <f t="shared" si="56"/>
        <v>0</v>
      </c>
      <c r="CB51" s="12">
        <f t="shared" si="56"/>
        <v>0</v>
      </c>
      <c r="CC51" s="12">
        <f t="shared" si="56"/>
        <v>0</v>
      </c>
      <c r="CD51" s="12">
        <f t="shared" si="56"/>
        <v>0</v>
      </c>
      <c r="CE51" s="12">
        <f t="shared" si="56"/>
        <v>0</v>
      </c>
      <c r="CF51" s="12">
        <f t="shared" si="56"/>
        <v>0</v>
      </c>
      <c r="CG51" s="12">
        <f t="shared" si="56"/>
        <v>0</v>
      </c>
      <c r="CH51" s="12">
        <f t="shared" si="56"/>
        <v>0</v>
      </c>
      <c r="CI51" s="12">
        <f t="shared" si="56"/>
        <v>0</v>
      </c>
      <c r="CJ51" s="12">
        <f t="shared" si="56"/>
        <v>0</v>
      </c>
      <c r="CK51" s="12">
        <f t="shared" si="56"/>
        <v>0</v>
      </c>
      <c r="CL51" s="12">
        <f t="shared" si="56"/>
        <v>0</v>
      </c>
      <c r="CM51" s="12">
        <f t="shared" si="56"/>
        <v>0</v>
      </c>
      <c r="CN51" s="12">
        <f t="shared" si="56"/>
        <v>0</v>
      </c>
      <c r="CO51" s="12">
        <f t="shared" si="56"/>
        <v>0</v>
      </c>
      <c r="CP51" s="12">
        <f t="shared" si="56"/>
        <v>0</v>
      </c>
      <c r="CQ51" s="12">
        <f t="shared" si="56"/>
        <v>0</v>
      </c>
      <c r="CR51" s="12">
        <f t="shared" si="56"/>
        <v>0</v>
      </c>
      <c r="CS51" s="12">
        <f t="shared" si="56"/>
        <v>0</v>
      </c>
      <c r="CT51" s="12">
        <f t="shared" si="56"/>
        <v>0</v>
      </c>
      <c r="CU51" s="12">
        <f t="shared" si="56"/>
        <v>0</v>
      </c>
      <c r="CV51" s="12">
        <f t="shared" si="56"/>
        <v>0</v>
      </c>
      <c r="CW51" s="12">
        <f t="shared" si="56"/>
        <v>0</v>
      </c>
      <c r="CX51" s="12">
        <f t="shared" si="56"/>
        <v>0</v>
      </c>
      <c r="CY51" s="12">
        <f t="shared" si="56"/>
        <v>0</v>
      </c>
      <c r="CZ51" s="12">
        <f t="shared" si="56"/>
        <v>0</v>
      </c>
      <c r="DA51" s="12">
        <f t="shared" si="55"/>
        <v>0</v>
      </c>
      <c r="DB51" s="12">
        <f t="shared" si="55"/>
        <v>0</v>
      </c>
      <c r="DC51" s="12">
        <f t="shared" si="55"/>
        <v>0</v>
      </c>
      <c r="DD51" s="12">
        <f t="shared" si="55"/>
        <v>0</v>
      </c>
      <c r="DE51" s="12">
        <f t="shared" si="55"/>
        <v>0</v>
      </c>
      <c r="DF51" s="12">
        <f t="shared" si="55"/>
        <v>0</v>
      </c>
      <c r="DG51" s="12">
        <f t="shared" si="55"/>
        <v>0</v>
      </c>
      <c r="DH51" s="12">
        <f t="shared" si="55"/>
        <v>0</v>
      </c>
      <c r="DI51" s="12">
        <f t="shared" si="55"/>
        <v>0</v>
      </c>
      <c r="DJ51" s="12">
        <f t="shared" si="55"/>
        <v>0</v>
      </c>
      <c r="DK51" s="12">
        <f t="shared" si="55"/>
        <v>0</v>
      </c>
      <c r="DL51" s="12">
        <f t="shared" si="55"/>
        <v>0</v>
      </c>
      <c r="DM51" s="12">
        <f t="shared" si="55"/>
        <v>0</v>
      </c>
      <c r="DN51" s="12">
        <f t="shared" si="55"/>
        <v>0</v>
      </c>
      <c r="DO51" s="12">
        <f t="shared" si="55"/>
        <v>0</v>
      </c>
      <c r="DP51" s="12">
        <f t="shared" si="55"/>
        <v>0</v>
      </c>
      <c r="DQ51" s="12">
        <f t="shared" si="55"/>
        <v>0</v>
      </c>
      <c r="DR51" s="12">
        <f t="shared" si="55"/>
        <v>0</v>
      </c>
      <c r="DS51" s="12">
        <f t="shared" si="55"/>
        <v>0</v>
      </c>
      <c r="DT51" s="12">
        <f t="shared" si="55"/>
        <v>0</v>
      </c>
      <c r="DU51" s="12">
        <f t="shared" si="55"/>
        <v>0</v>
      </c>
      <c r="DV51" s="12">
        <f t="shared" si="55"/>
        <v>0</v>
      </c>
      <c r="DW51" s="12">
        <f t="shared" si="55"/>
        <v>0</v>
      </c>
      <c r="DX51" s="12">
        <f t="shared" si="55"/>
        <v>0</v>
      </c>
      <c r="DY51" s="12">
        <f t="shared" si="55"/>
        <v>0</v>
      </c>
      <c r="DZ51" s="12">
        <f t="shared" si="55"/>
        <v>0</v>
      </c>
      <c r="EA51" s="12">
        <f t="shared" si="55"/>
        <v>0</v>
      </c>
      <c r="EB51" s="12">
        <f t="shared" si="55"/>
        <v>0</v>
      </c>
      <c r="EC51" s="12">
        <f t="shared" si="55"/>
        <v>0</v>
      </c>
      <c r="ED51" s="12">
        <f t="shared" si="55"/>
        <v>0</v>
      </c>
      <c r="EE51" s="12">
        <f t="shared" si="55"/>
        <v>0</v>
      </c>
      <c r="EF51" s="12">
        <f t="shared" si="55"/>
        <v>0</v>
      </c>
      <c r="EG51" s="12">
        <f t="shared" si="55"/>
        <v>0</v>
      </c>
      <c r="EH51" s="12">
        <f t="shared" si="55"/>
        <v>0</v>
      </c>
      <c r="EI51" s="12">
        <f t="shared" si="55"/>
        <v>0</v>
      </c>
      <c r="EJ51" s="12">
        <f t="shared" si="55"/>
        <v>0</v>
      </c>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row>
    <row r="52" spans="1:345" x14ac:dyDescent="0.35">
      <c r="A52" s="132"/>
      <c r="B52" s="27"/>
      <c r="C52" s="170"/>
      <c r="D52" s="170"/>
      <c r="E52" s="103"/>
      <c r="F52" s="105"/>
      <c r="G52" s="36" t="str">
        <f>IFERROR(VLOOKUP(E52, 'General Project Info'!$C$30:$I$40, 7, FALSE), "")</f>
        <v/>
      </c>
      <c r="H52" s="41">
        <f>IFERROR(X52*VLOOKUP(E52, 'General Project Info'!$R$30:$T$40, 3, FALSE), 0)</f>
        <v>0</v>
      </c>
      <c r="I52" s="42">
        <f>IFERROR(IF($T52="Yes", $X52*VLOOKUP($E52, 'General Project Info'!$R$30:$W$40, 5, FALSE), 0), 0)</f>
        <v>0</v>
      </c>
      <c r="J52" s="42">
        <f>IFERROR(IF($T52="No", $X52*VLOOKUP($E52, 'General Project Info'!$R$30:$W$40, 5, FALSE), 0), 0)</f>
        <v>0</v>
      </c>
      <c r="K52" s="108"/>
      <c r="L52" s="108"/>
      <c r="M52" s="109"/>
      <c r="N52" s="109"/>
      <c r="O52" s="109"/>
      <c r="P52" s="43">
        <f t="shared" si="37"/>
        <v>0</v>
      </c>
      <c r="Q52" s="27"/>
      <c r="R52" s="132"/>
      <c r="T52" s="18" t="e">
        <f>VLOOKUP($E52, 'Unit Conversions Array'!$B$4:$Z$23, 25, FALSE)</f>
        <v>#N/A</v>
      </c>
      <c r="U52">
        <f>VLOOKUP(E52, 'General Project Info'!$R$30:$W$40, 6, FALSE)</f>
        <v>1</v>
      </c>
      <c r="V52" s="18">
        <f t="shared" si="38"/>
        <v>0</v>
      </c>
      <c r="W52" s="18">
        <f>IFERROR(F52*INDEX('Unit Conversions Array'!$E$4:$Y$23, MATCH('Scenarios &amp; Measures'!E52, 'Unit Conversions Array'!$B$4:$B$23, 0), MATCH('Scenarios &amp; Measures'!G52, 'Unit Conversions Array'!$E$3:$Y$3, 0)), 0)</f>
        <v>0</v>
      </c>
      <c r="X52" s="19">
        <f t="shared" si="39"/>
        <v>0</v>
      </c>
      <c r="Y52" s="19">
        <f t="shared" si="40"/>
        <v>0</v>
      </c>
      <c r="Z52" s="19">
        <f t="shared" si="41"/>
        <v>0</v>
      </c>
      <c r="AA52" s="17">
        <f t="shared" si="52"/>
        <v>0</v>
      </c>
      <c r="AB52" s="17">
        <f t="shared" si="42"/>
        <v>20</v>
      </c>
      <c r="AC52" s="17">
        <f t="shared" si="43"/>
        <v>-20</v>
      </c>
      <c r="AD52" s="17">
        <f t="shared" si="44"/>
        <v>0</v>
      </c>
      <c r="AE52" s="18">
        <f t="shared" si="45"/>
        <v>0</v>
      </c>
      <c r="AF52" s="19">
        <f t="shared" si="33"/>
        <v>0</v>
      </c>
      <c r="AG52" s="12">
        <f t="shared" si="34"/>
        <v>0</v>
      </c>
      <c r="AH52" s="17">
        <f t="shared" si="46"/>
        <v>0</v>
      </c>
      <c r="AI52" s="23">
        <f>IF($V$10="RECs", -Y52/VLOOKUP("RECs", 'General Project Info'!$R$30:$W$40, 5, FALSE)*$V$11*IF($X$11=$Z$12, $X$10, (1/($Z$12-$X$11))*(1-($X$11/$Z$12)^$X$10)*$Z$12), 0)</f>
        <v>0</v>
      </c>
      <c r="AJ52" s="17">
        <f t="shared" si="47"/>
        <v>0</v>
      </c>
      <c r="AK52" s="17">
        <f t="shared" si="48"/>
        <v>0</v>
      </c>
      <c r="AL52" s="17">
        <f t="shared" si="49"/>
        <v>0</v>
      </c>
      <c r="AN52" s="12">
        <f t="shared" si="50"/>
        <v>0</v>
      </c>
      <c r="AO52" s="12">
        <f t="shared" si="56"/>
        <v>0</v>
      </c>
      <c r="AP52" s="12">
        <f t="shared" si="56"/>
        <v>0</v>
      </c>
      <c r="AQ52" s="12">
        <f t="shared" si="56"/>
        <v>0</v>
      </c>
      <c r="AR52" s="12">
        <f t="shared" si="56"/>
        <v>0</v>
      </c>
      <c r="AS52" s="12">
        <f t="shared" si="56"/>
        <v>0</v>
      </c>
      <c r="AT52" s="12">
        <f t="shared" si="56"/>
        <v>0</v>
      </c>
      <c r="AU52" s="12">
        <f t="shared" si="56"/>
        <v>0</v>
      </c>
      <c r="AV52" s="12">
        <f t="shared" si="56"/>
        <v>0</v>
      </c>
      <c r="AW52" s="12">
        <f t="shared" si="56"/>
        <v>0</v>
      </c>
      <c r="AX52" s="12">
        <f t="shared" si="56"/>
        <v>0</v>
      </c>
      <c r="AY52" s="12">
        <f t="shared" si="56"/>
        <v>0</v>
      </c>
      <c r="AZ52" s="12">
        <f t="shared" si="56"/>
        <v>0</v>
      </c>
      <c r="BA52" s="12">
        <f t="shared" si="56"/>
        <v>0</v>
      </c>
      <c r="BB52" s="12">
        <f t="shared" si="56"/>
        <v>0</v>
      </c>
      <c r="BC52" s="12">
        <f t="shared" si="56"/>
        <v>0</v>
      </c>
      <c r="BD52" s="12">
        <f t="shared" si="56"/>
        <v>0</v>
      </c>
      <c r="BE52" s="12">
        <f t="shared" si="56"/>
        <v>0</v>
      </c>
      <c r="BF52" s="12">
        <f t="shared" si="56"/>
        <v>0</v>
      </c>
      <c r="BG52" s="12">
        <f t="shared" si="56"/>
        <v>0</v>
      </c>
      <c r="BH52" s="12">
        <f t="shared" si="56"/>
        <v>0</v>
      </c>
      <c r="BI52" s="12">
        <f t="shared" si="56"/>
        <v>0</v>
      </c>
      <c r="BJ52" s="12">
        <f t="shared" si="56"/>
        <v>0</v>
      </c>
      <c r="BK52" s="12">
        <f t="shared" si="56"/>
        <v>0</v>
      </c>
      <c r="BL52" s="12">
        <f t="shared" si="56"/>
        <v>0</v>
      </c>
      <c r="BM52" s="12">
        <f t="shared" si="56"/>
        <v>0</v>
      </c>
      <c r="BN52" s="12">
        <f t="shared" si="56"/>
        <v>0</v>
      </c>
      <c r="BO52" s="12">
        <f t="shared" si="56"/>
        <v>0</v>
      </c>
      <c r="BP52" s="12">
        <f t="shared" si="56"/>
        <v>0</v>
      </c>
      <c r="BQ52" s="12">
        <f t="shared" si="56"/>
        <v>0</v>
      </c>
      <c r="BR52" s="12">
        <f t="shared" si="56"/>
        <v>0</v>
      </c>
      <c r="BS52" s="12">
        <f t="shared" si="56"/>
        <v>0</v>
      </c>
      <c r="BT52" s="12">
        <f t="shared" si="56"/>
        <v>0</v>
      </c>
      <c r="BU52" s="12">
        <f t="shared" si="56"/>
        <v>0</v>
      </c>
      <c r="BV52" s="12">
        <f t="shared" si="56"/>
        <v>0</v>
      </c>
      <c r="BW52" s="12">
        <f t="shared" si="56"/>
        <v>0</v>
      </c>
      <c r="BX52" s="12">
        <f t="shared" si="56"/>
        <v>0</v>
      </c>
      <c r="BY52" s="12">
        <f t="shared" si="56"/>
        <v>0</v>
      </c>
      <c r="BZ52" s="12">
        <f t="shared" si="56"/>
        <v>0</v>
      </c>
      <c r="CA52" s="12">
        <f t="shared" si="56"/>
        <v>0</v>
      </c>
      <c r="CB52" s="12">
        <f t="shared" si="56"/>
        <v>0</v>
      </c>
      <c r="CC52" s="12">
        <f t="shared" si="56"/>
        <v>0</v>
      </c>
      <c r="CD52" s="12">
        <f t="shared" si="56"/>
        <v>0</v>
      </c>
      <c r="CE52" s="12">
        <f t="shared" si="56"/>
        <v>0</v>
      </c>
      <c r="CF52" s="12">
        <f t="shared" si="56"/>
        <v>0</v>
      </c>
      <c r="CG52" s="12">
        <f t="shared" si="56"/>
        <v>0</v>
      </c>
      <c r="CH52" s="12">
        <f t="shared" si="56"/>
        <v>0</v>
      </c>
      <c r="CI52" s="12">
        <f t="shared" si="56"/>
        <v>0</v>
      </c>
      <c r="CJ52" s="12">
        <f t="shared" si="56"/>
        <v>0</v>
      </c>
      <c r="CK52" s="12">
        <f t="shared" si="56"/>
        <v>0</v>
      </c>
      <c r="CL52" s="12">
        <f t="shared" si="56"/>
        <v>0</v>
      </c>
      <c r="CM52" s="12">
        <f t="shared" si="56"/>
        <v>0</v>
      </c>
      <c r="CN52" s="12">
        <f t="shared" si="56"/>
        <v>0</v>
      </c>
      <c r="CO52" s="12">
        <f t="shared" si="56"/>
        <v>0</v>
      </c>
      <c r="CP52" s="12">
        <f t="shared" si="56"/>
        <v>0</v>
      </c>
      <c r="CQ52" s="12">
        <f t="shared" si="56"/>
        <v>0</v>
      </c>
      <c r="CR52" s="12">
        <f t="shared" si="56"/>
        <v>0</v>
      </c>
      <c r="CS52" s="12">
        <f t="shared" si="56"/>
        <v>0</v>
      </c>
      <c r="CT52" s="12">
        <f t="shared" si="56"/>
        <v>0</v>
      </c>
      <c r="CU52" s="12">
        <f t="shared" si="56"/>
        <v>0</v>
      </c>
      <c r="CV52" s="12">
        <f t="shared" si="56"/>
        <v>0</v>
      </c>
      <c r="CW52" s="12">
        <f t="shared" si="56"/>
        <v>0</v>
      </c>
      <c r="CX52" s="12">
        <f t="shared" si="56"/>
        <v>0</v>
      </c>
      <c r="CY52" s="12">
        <f t="shared" si="56"/>
        <v>0</v>
      </c>
      <c r="CZ52" s="12">
        <f t="shared" ref="CZ52:EJ52" si="57">IFERROR(IF(CZ$38&gt;=$X$10, 0, IF(MOD($AD52+CZ$38, $K52)=0, (($M52-$N52)*$Z$11^CZ$38), 0)), 0)</f>
        <v>0</v>
      </c>
      <c r="DA52" s="12">
        <f t="shared" si="57"/>
        <v>0</v>
      </c>
      <c r="DB52" s="12">
        <f t="shared" si="57"/>
        <v>0</v>
      </c>
      <c r="DC52" s="12">
        <f t="shared" si="57"/>
        <v>0</v>
      </c>
      <c r="DD52" s="12">
        <f t="shared" si="57"/>
        <v>0</v>
      </c>
      <c r="DE52" s="12">
        <f t="shared" si="57"/>
        <v>0</v>
      </c>
      <c r="DF52" s="12">
        <f t="shared" si="57"/>
        <v>0</v>
      </c>
      <c r="DG52" s="12">
        <f t="shared" si="57"/>
        <v>0</v>
      </c>
      <c r="DH52" s="12">
        <f t="shared" si="57"/>
        <v>0</v>
      </c>
      <c r="DI52" s="12">
        <f t="shared" si="57"/>
        <v>0</v>
      </c>
      <c r="DJ52" s="12">
        <f t="shared" si="57"/>
        <v>0</v>
      </c>
      <c r="DK52" s="12">
        <f t="shared" si="57"/>
        <v>0</v>
      </c>
      <c r="DL52" s="12">
        <f t="shared" si="57"/>
        <v>0</v>
      </c>
      <c r="DM52" s="12">
        <f t="shared" si="57"/>
        <v>0</v>
      </c>
      <c r="DN52" s="12">
        <f t="shared" si="57"/>
        <v>0</v>
      </c>
      <c r="DO52" s="12">
        <f t="shared" si="57"/>
        <v>0</v>
      </c>
      <c r="DP52" s="12">
        <f t="shared" si="57"/>
        <v>0</v>
      </c>
      <c r="DQ52" s="12">
        <f t="shared" si="57"/>
        <v>0</v>
      </c>
      <c r="DR52" s="12">
        <f t="shared" si="57"/>
        <v>0</v>
      </c>
      <c r="DS52" s="12">
        <f t="shared" si="57"/>
        <v>0</v>
      </c>
      <c r="DT52" s="12">
        <f t="shared" si="57"/>
        <v>0</v>
      </c>
      <c r="DU52" s="12">
        <f t="shared" si="57"/>
        <v>0</v>
      </c>
      <c r="DV52" s="12">
        <f t="shared" si="57"/>
        <v>0</v>
      </c>
      <c r="DW52" s="12">
        <f t="shared" si="57"/>
        <v>0</v>
      </c>
      <c r="DX52" s="12">
        <f t="shared" si="57"/>
        <v>0</v>
      </c>
      <c r="DY52" s="12">
        <f t="shared" si="57"/>
        <v>0</v>
      </c>
      <c r="DZ52" s="12">
        <f t="shared" si="57"/>
        <v>0</v>
      </c>
      <c r="EA52" s="12">
        <f t="shared" si="57"/>
        <v>0</v>
      </c>
      <c r="EB52" s="12">
        <f t="shared" si="57"/>
        <v>0</v>
      </c>
      <c r="EC52" s="12">
        <f t="shared" si="57"/>
        <v>0</v>
      </c>
      <c r="ED52" s="12">
        <f t="shared" si="57"/>
        <v>0</v>
      </c>
      <c r="EE52" s="12">
        <f t="shared" si="57"/>
        <v>0</v>
      </c>
      <c r="EF52" s="12">
        <f t="shared" si="57"/>
        <v>0</v>
      </c>
      <c r="EG52" s="12">
        <f t="shared" si="57"/>
        <v>0</v>
      </c>
      <c r="EH52" s="12">
        <f t="shared" si="57"/>
        <v>0</v>
      </c>
      <c r="EI52" s="12">
        <f t="shared" si="57"/>
        <v>0</v>
      </c>
      <c r="EJ52" s="12">
        <f t="shared" si="57"/>
        <v>0</v>
      </c>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row>
    <row r="53" spans="1:345" x14ac:dyDescent="0.35">
      <c r="A53" s="132"/>
      <c r="B53" s="27"/>
      <c r="C53" s="38"/>
      <c r="D53" s="27"/>
      <c r="E53" s="38"/>
      <c r="F53" s="38"/>
      <c r="G53" s="38"/>
      <c r="H53" s="38"/>
      <c r="I53" s="38"/>
      <c r="J53" s="38"/>
      <c r="K53" s="38"/>
      <c r="L53" s="38"/>
      <c r="M53" s="38"/>
      <c r="N53" s="38"/>
      <c r="O53" s="38"/>
      <c r="P53" s="38"/>
      <c r="Q53" s="27"/>
      <c r="R53" s="132"/>
      <c r="AA53" t="s">
        <v>280</v>
      </c>
      <c r="AE53" t="s">
        <v>286</v>
      </c>
      <c r="AF53" t="s">
        <v>287</v>
      </c>
      <c r="AG53" t="s">
        <v>288</v>
      </c>
      <c r="AH53" t="s">
        <v>289</v>
      </c>
      <c r="AI53" t="s">
        <v>301</v>
      </c>
      <c r="IJ53" s="12"/>
      <c r="IK53" s="12"/>
      <c r="IL53" s="12"/>
      <c r="IM53" s="12"/>
      <c r="IN53" s="12"/>
      <c r="IO53" s="12"/>
    </row>
    <row r="54" spans="1:345" x14ac:dyDescent="0.35">
      <c r="A54" s="132"/>
      <c r="B54" s="27"/>
      <c r="C54" s="38"/>
      <c r="D54" s="27"/>
      <c r="E54" s="38" t="s">
        <v>34</v>
      </c>
      <c r="F54" s="44">
        <f>SUM(X39:X52)</f>
        <v>0</v>
      </c>
      <c r="G54" s="45" t="s">
        <v>35</v>
      </c>
      <c r="H54" s="46">
        <f>SUM(H39:H52)</f>
        <v>0</v>
      </c>
      <c r="I54" s="44">
        <f>SUM(I39:I52)</f>
        <v>0</v>
      </c>
      <c r="J54" s="44">
        <f>SUM(J39:J52)</f>
        <v>0</v>
      </c>
      <c r="K54" s="45" t="s">
        <v>13</v>
      </c>
      <c r="L54" s="45" t="s">
        <v>13</v>
      </c>
      <c r="M54" s="47">
        <f>SUM(M39:M52)</f>
        <v>0</v>
      </c>
      <c r="N54" s="47">
        <f>SUM(N39:N52)</f>
        <v>0</v>
      </c>
      <c r="O54" s="47">
        <f>SUM(O39:O52)</f>
        <v>0</v>
      </c>
      <c r="P54" s="47">
        <f>SUM(P39:P52)</f>
        <v>0</v>
      </c>
      <c r="Q54" s="27"/>
      <c r="R54" s="132"/>
      <c r="V54" s="12"/>
      <c r="W54" t="s">
        <v>280</v>
      </c>
      <c r="X54" t="s">
        <v>283</v>
      </c>
      <c r="Y54" s="12" t="s">
        <v>284</v>
      </c>
      <c r="AA54" s="12" t="s">
        <v>281</v>
      </c>
      <c r="AB54" s="12"/>
      <c r="AC54" s="12"/>
      <c r="AD54" s="12"/>
      <c r="AE54">
        <f>IF($V$10="Carbon Offset", $I55*$V$12, 0)</f>
        <v>0</v>
      </c>
      <c r="AF54">
        <f>IF($X$11=$Z$12, $AE54*$X$10, ($AE54/($Z$12-$X$11))*(1-($X$11/$Z$12)^$X$10)*$Z$12)</f>
        <v>0</v>
      </c>
      <c r="AG54">
        <f>IF($V$10="RECs", (-$I55/(VLOOKUP("RECs", 'General Project Info'!$R$30:$W$40, 5, FALSE)))*$V$11, 0)</f>
        <v>0</v>
      </c>
      <c r="AH54">
        <f>IF($X$11=$Z$12, $AG54*$X$10, ($AG54/($Z$12-$X$11))*(1-($X$11/$Z$12)^$X$10)*$Z$12)</f>
        <v>0</v>
      </c>
      <c r="AL54" t="s">
        <v>292</v>
      </c>
      <c r="AM54" t="s">
        <v>293</v>
      </c>
      <c r="AN54" s="12" t="e">
        <f>IF(AN38&gt;=$X$10, 0, -SUM(AN39:AN52)-($X57*$AE37^AN38)-($V57+$V58)*AN$11/1000-SUM($AE54:$AE57)*$X$12^AN38-($AG54+$AG56)*$X$11^AN38-($X58*$Z$11^AN38)-IF($X$10-1=AN38, $P$29, 0))</f>
        <v>#DIV/0!</v>
      </c>
      <c r="AO54" s="12" t="e">
        <f>IF(AO38&gt;=$X$10, 0, -SUM(AO39:AO52)-($X57*$AE37^AO38)-($V57+$V58)*AO$11/1000-SUM($AE54:$AE57)*$X$12^AO38-($AG54+$AG56)*$X$11^AO38-($X58*$Z$11^AO38)-IF($X$10-1=AO38, $P$29, 0))</f>
        <v>#DIV/0!</v>
      </c>
      <c r="AP54" s="12" t="e">
        <f t="shared" ref="AP54:DA54" si="58">IF(AP38&gt;=$X$10, 0, -SUM(AP39:AP52)-($X57*$AE37^AP38)-($V57+$V58)*AP$11/1000-SUM($AE54:$AE57)*$X$12^AP38-($AG54+$AG56)*$X$11^AP38-($X58*$Z$11^AP38)-IF($X$10-1=AP38, $P$29, 0))</f>
        <v>#DIV/0!</v>
      </c>
      <c r="AQ54" s="12" t="e">
        <f t="shared" si="58"/>
        <v>#DIV/0!</v>
      </c>
      <c r="AR54" s="12" t="e">
        <f t="shared" si="58"/>
        <v>#DIV/0!</v>
      </c>
      <c r="AS54" s="12" t="e">
        <f t="shared" si="58"/>
        <v>#DIV/0!</v>
      </c>
      <c r="AT54" s="12" t="e">
        <f t="shared" si="58"/>
        <v>#DIV/0!</v>
      </c>
      <c r="AU54" s="12" t="e">
        <f t="shared" si="58"/>
        <v>#DIV/0!</v>
      </c>
      <c r="AV54" s="12" t="e">
        <f t="shared" si="58"/>
        <v>#DIV/0!</v>
      </c>
      <c r="AW54" s="12" t="e">
        <f t="shared" si="58"/>
        <v>#DIV/0!</v>
      </c>
      <c r="AX54" s="12" t="e">
        <f t="shared" si="58"/>
        <v>#DIV/0!</v>
      </c>
      <c r="AY54" s="12" t="e">
        <f t="shared" si="58"/>
        <v>#DIV/0!</v>
      </c>
      <c r="AZ54" s="12" t="e">
        <f t="shared" si="58"/>
        <v>#DIV/0!</v>
      </c>
      <c r="BA54" s="12" t="e">
        <f t="shared" si="58"/>
        <v>#DIV/0!</v>
      </c>
      <c r="BB54" s="12" t="e">
        <f t="shared" si="58"/>
        <v>#DIV/0!</v>
      </c>
      <c r="BC54" s="12" t="e">
        <f t="shared" si="58"/>
        <v>#DIV/0!</v>
      </c>
      <c r="BD54" s="12" t="e">
        <f t="shared" si="58"/>
        <v>#DIV/0!</v>
      </c>
      <c r="BE54" s="12" t="e">
        <f t="shared" si="58"/>
        <v>#DIV/0!</v>
      </c>
      <c r="BF54" s="12" t="e">
        <f t="shared" si="58"/>
        <v>#DIV/0!</v>
      </c>
      <c r="BG54" s="12" t="e">
        <f t="shared" si="58"/>
        <v>#DIV/0!</v>
      </c>
      <c r="BH54" s="12">
        <f t="shared" si="58"/>
        <v>0</v>
      </c>
      <c r="BI54" s="12">
        <f t="shared" si="58"/>
        <v>0</v>
      </c>
      <c r="BJ54" s="12">
        <f t="shared" si="58"/>
        <v>0</v>
      </c>
      <c r="BK54" s="12">
        <f t="shared" si="58"/>
        <v>0</v>
      </c>
      <c r="BL54" s="12">
        <f t="shared" si="58"/>
        <v>0</v>
      </c>
      <c r="BM54" s="12">
        <f t="shared" si="58"/>
        <v>0</v>
      </c>
      <c r="BN54" s="12">
        <f t="shared" si="58"/>
        <v>0</v>
      </c>
      <c r="BO54" s="12">
        <f t="shared" si="58"/>
        <v>0</v>
      </c>
      <c r="BP54" s="12">
        <f t="shared" si="58"/>
        <v>0</v>
      </c>
      <c r="BQ54" s="12">
        <f t="shared" si="58"/>
        <v>0</v>
      </c>
      <c r="BR54" s="12">
        <f t="shared" si="58"/>
        <v>0</v>
      </c>
      <c r="BS54" s="12">
        <f t="shared" si="58"/>
        <v>0</v>
      </c>
      <c r="BT54" s="12">
        <f t="shared" si="58"/>
        <v>0</v>
      </c>
      <c r="BU54" s="12">
        <f t="shared" si="58"/>
        <v>0</v>
      </c>
      <c r="BV54" s="12">
        <f t="shared" si="58"/>
        <v>0</v>
      </c>
      <c r="BW54" s="12">
        <f t="shared" si="58"/>
        <v>0</v>
      </c>
      <c r="BX54" s="12">
        <f t="shared" si="58"/>
        <v>0</v>
      </c>
      <c r="BY54" s="12">
        <f t="shared" si="58"/>
        <v>0</v>
      </c>
      <c r="BZ54" s="12">
        <f t="shared" si="58"/>
        <v>0</v>
      </c>
      <c r="CA54" s="12">
        <f t="shared" si="58"/>
        <v>0</v>
      </c>
      <c r="CB54" s="12">
        <f t="shared" si="58"/>
        <v>0</v>
      </c>
      <c r="CC54" s="12">
        <f t="shared" si="58"/>
        <v>0</v>
      </c>
      <c r="CD54" s="12">
        <f t="shared" si="58"/>
        <v>0</v>
      </c>
      <c r="CE54" s="12">
        <f t="shared" si="58"/>
        <v>0</v>
      </c>
      <c r="CF54" s="12">
        <f t="shared" si="58"/>
        <v>0</v>
      </c>
      <c r="CG54" s="12">
        <f t="shared" si="58"/>
        <v>0</v>
      </c>
      <c r="CH54" s="12">
        <f t="shared" si="58"/>
        <v>0</v>
      </c>
      <c r="CI54" s="12">
        <f t="shared" si="58"/>
        <v>0</v>
      </c>
      <c r="CJ54" s="12">
        <f t="shared" si="58"/>
        <v>0</v>
      </c>
      <c r="CK54" s="12">
        <f t="shared" si="58"/>
        <v>0</v>
      </c>
      <c r="CL54" s="12">
        <f t="shared" si="58"/>
        <v>0</v>
      </c>
      <c r="CM54" s="12">
        <f t="shared" si="58"/>
        <v>0</v>
      </c>
      <c r="CN54" s="12">
        <f t="shared" si="58"/>
        <v>0</v>
      </c>
      <c r="CO54" s="12">
        <f t="shared" si="58"/>
        <v>0</v>
      </c>
      <c r="CP54" s="12">
        <f t="shared" si="58"/>
        <v>0</v>
      </c>
      <c r="CQ54" s="12">
        <f t="shared" si="58"/>
        <v>0</v>
      </c>
      <c r="CR54" s="12">
        <f t="shared" si="58"/>
        <v>0</v>
      </c>
      <c r="CS54" s="12">
        <f t="shared" si="58"/>
        <v>0</v>
      </c>
      <c r="CT54" s="12">
        <f t="shared" si="58"/>
        <v>0</v>
      </c>
      <c r="CU54" s="12">
        <f t="shared" si="58"/>
        <v>0</v>
      </c>
      <c r="CV54" s="12">
        <f t="shared" si="58"/>
        <v>0</v>
      </c>
      <c r="CW54" s="12">
        <f t="shared" si="58"/>
        <v>0</v>
      </c>
      <c r="CX54" s="12">
        <f t="shared" si="58"/>
        <v>0</v>
      </c>
      <c r="CY54" s="12">
        <f t="shared" si="58"/>
        <v>0</v>
      </c>
      <c r="CZ54" s="12">
        <f t="shared" si="58"/>
        <v>0</v>
      </c>
      <c r="DA54" s="12">
        <f t="shared" si="58"/>
        <v>0</v>
      </c>
      <c r="DB54" s="12">
        <f t="shared" ref="DB54:EJ54" si="59">IF(DB38&gt;=$X$10, 0, -SUM(DB39:DB52)-($X57*$AE37^DB38)-($V57+$V58)*DB$11/1000-SUM($AE54:$AE57)*$X$12^DB38-($AG54+$AG56)*$X$11^DB38-($X58*$Z$11^DB38)-IF($X$10-1=DB38, $P$29, 0))</f>
        <v>0</v>
      </c>
      <c r="DC54" s="12">
        <f t="shared" si="59"/>
        <v>0</v>
      </c>
      <c r="DD54" s="12">
        <f t="shared" si="59"/>
        <v>0</v>
      </c>
      <c r="DE54" s="12">
        <f t="shared" si="59"/>
        <v>0</v>
      </c>
      <c r="DF54" s="12">
        <f t="shared" si="59"/>
        <v>0</v>
      </c>
      <c r="DG54" s="12">
        <f t="shared" si="59"/>
        <v>0</v>
      </c>
      <c r="DH54" s="12">
        <f t="shared" si="59"/>
        <v>0</v>
      </c>
      <c r="DI54" s="12">
        <f t="shared" si="59"/>
        <v>0</v>
      </c>
      <c r="DJ54" s="12">
        <f t="shared" si="59"/>
        <v>0</v>
      </c>
      <c r="DK54" s="12">
        <f t="shared" si="59"/>
        <v>0</v>
      </c>
      <c r="DL54" s="12">
        <f t="shared" si="59"/>
        <v>0</v>
      </c>
      <c r="DM54" s="12">
        <f t="shared" si="59"/>
        <v>0</v>
      </c>
      <c r="DN54" s="12">
        <f t="shared" si="59"/>
        <v>0</v>
      </c>
      <c r="DO54" s="12">
        <f t="shared" si="59"/>
        <v>0</v>
      </c>
      <c r="DP54" s="12">
        <f t="shared" si="59"/>
        <v>0</v>
      </c>
      <c r="DQ54" s="12">
        <f t="shared" si="59"/>
        <v>0</v>
      </c>
      <c r="DR54" s="12">
        <f t="shared" si="59"/>
        <v>0</v>
      </c>
      <c r="DS54" s="12">
        <f t="shared" si="59"/>
        <v>0</v>
      </c>
      <c r="DT54" s="12">
        <f t="shared" si="59"/>
        <v>0</v>
      </c>
      <c r="DU54" s="12">
        <f t="shared" si="59"/>
        <v>0</v>
      </c>
      <c r="DV54" s="12">
        <f t="shared" si="59"/>
        <v>0</v>
      </c>
      <c r="DW54" s="12">
        <f t="shared" si="59"/>
        <v>0</v>
      </c>
      <c r="DX54" s="12">
        <f t="shared" si="59"/>
        <v>0</v>
      </c>
      <c r="DY54" s="12">
        <f t="shared" si="59"/>
        <v>0</v>
      </c>
      <c r="DZ54" s="12">
        <f t="shared" si="59"/>
        <v>0</v>
      </c>
      <c r="EA54" s="12">
        <f t="shared" si="59"/>
        <v>0</v>
      </c>
      <c r="EB54" s="12">
        <f t="shared" si="59"/>
        <v>0</v>
      </c>
      <c r="EC54" s="12">
        <f t="shared" si="59"/>
        <v>0</v>
      </c>
      <c r="ED54" s="12">
        <f t="shared" si="59"/>
        <v>0</v>
      </c>
      <c r="EE54" s="12">
        <f t="shared" si="59"/>
        <v>0</v>
      </c>
      <c r="EF54" s="12">
        <f t="shared" si="59"/>
        <v>0</v>
      </c>
      <c r="EG54" s="12">
        <f t="shared" si="59"/>
        <v>0</v>
      </c>
      <c r="EH54" s="12">
        <f t="shared" si="59"/>
        <v>0</v>
      </c>
      <c r="EI54" s="12">
        <f t="shared" si="59"/>
        <v>0</v>
      </c>
      <c r="EJ54" s="12">
        <f t="shared" si="59"/>
        <v>0</v>
      </c>
      <c r="IJ54" s="12"/>
      <c r="IK54" s="12"/>
      <c r="IL54" s="12"/>
      <c r="IM54" s="12"/>
      <c r="IN54" s="12"/>
      <c r="IO54" s="12"/>
    </row>
    <row r="55" spans="1:345" x14ac:dyDescent="0.35">
      <c r="A55" s="132"/>
      <c r="B55" s="27"/>
      <c r="C55" s="38"/>
      <c r="D55" s="27"/>
      <c r="E55" s="38" t="s">
        <v>463</v>
      </c>
      <c r="F55" s="105"/>
      <c r="G55" s="37" t="s">
        <v>35</v>
      </c>
      <c r="H55" s="110"/>
      <c r="I55" s="105"/>
      <c r="J55" s="105"/>
      <c r="K55" s="37" t="s">
        <v>13</v>
      </c>
      <c r="L55" s="37" t="s">
        <v>13</v>
      </c>
      <c r="M55" s="37" t="s">
        <v>13</v>
      </c>
      <c r="N55" s="37" t="s">
        <v>13</v>
      </c>
      <c r="O55" s="111"/>
      <c r="P55" s="37" t="s">
        <v>13</v>
      </c>
      <c r="Q55" s="27"/>
      <c r="R55" s="132"/>
      <c r="T55" t="s">
        <v>260</v>
      </c>
      <c r="U55" s="10">
        <f>IF(H55&gt;0, X55, SUM(V39:V52))+IF(I55&gt;0, SUM(AF39:AF52)/I54*I55+AF54+AH54, SUM(AF39:AF52)+SUM(AI39:AJ52))+IF(J55&gt;0, SUM(AG39:AG52)/J54*J55+AF55, SUM(AG39:AG52)+SUM(AK39:AK52))+SUM(AH39:AH52)+IF(O55&gt;0, Y55, SUM(AE39:AE52))-P54</f>
        <v>0</v>
      </c>
      <c r="W55" t="s">
        <v>285</v>
      </c>
      <c r="X55" s="12" t="e">
        <f>IF(AE37=$Z$12, H55*$X$10, (H55/($Z$12-AE37))*(1-(AE37/$Z$12)^$X$10)*$Z$12)</f>
        <v>#DIV/0!</v>
      </c>
      <c r="Y55">
        <f>IF($Z$11=$Z$12, $O$30*$X$10, ($O$30/($Z$12-$Z$11))*(1-($Z$11/$Z$12)^$X$10)*$Z$12)</f>
        <v>0</v>
      </c>
      <c r="AA55" t="s">
        <v>282</v>
      </c>
      <c r="AE55">
        <f>$J55*$V$12</f>
        <v>0</v>
      </c>
      <c r="AF55">
        <f>IF($X$11=$Z$12, $AE55*$X$10, ($AE55/($Z$12-$X$11))*(1-($X$11/$Z$12)^$X$10)*$Z$12)</f>
        <v>0</v>
      </c>
      <c r="AL55" s="12"/>
      <c r="AM55" t="s">
        <v>294</v>
      </c>
      <c r="AN55" s="12">
        <f>IF(AN38&gt;=$X$10, 0, SUM(AN$14:AN$27)+($X$32*$AE$12^AN38)+($V$32+$V$33)*AN$11/1000+SUM($AE$29:$AE$32)*$X$12^AN38+($AG$29+$AG$31)*$X$11^AN38+($X$33*$Z$11^AN38)+IF($X$10-1=AN38, $P54, 0))</f>
        <v>145597.10630328729</v>
      </c>
      <c r="AO55" s="12">
        <f t="shared" ref="AO55" si="60">IF(AO38&gt;=$X$10, 0, SUM(AO$14:AO$27)+($X$32*$AE$12^AO38)+($V$32+$V$33)*AO$11/1000+SUM($AE$29:$AE$32)*$X$12^AO38+($AG$29+$AG$31)*$X$11^AO38+($X$33*$Z$11^AO38)+IF($X$10-1=AO38, $P54, 0))</f>
        <v>46509.048429353039</v>
      </c>
      <c r="AP55" s="12">
        <f t="shared" ref="AP55" si="61">IF(AP38&gt;=$X$10, 0, SUM(AP$14:AP$27)+($X$32*$AE$12^AP38)+($V$32+$V$33)*AP$11/1000+SUM($AE$29:$AE$32)*$X$12^AP38+($AG$29+$AG$31)*$X$11^AP38+($X$33*$Z$11^AP38)+IF($X$10-1=AP38, $P54, 0))</f>
        <v>47442.268240461417</v>
      </c>
      <c r="AQ55" s="12">
        <f t="shared" ref="AQ55" si="62">IF(AQ38&gt;=$X$10, 0, SUM(AQ$14:AQ$27)+($X$32*$AE$12^AQ38)+($V$32+$V$33)*AQ$11/1000+SUM($AE$29:$AE$32)*$X$12^AQ38+($AG$29+$AG$31)*$X$11^AQ38+($X$33*$Z$11^AQ38)+IF($X$10-1=AQ38, $P54, 0))</f>
        <v>48397.312844014115</v>
      </c>
      <c r="AR55" s="12">
        <f t="shared" ref="AR55" si="63">IF(AR38&gt;=$X$10, 0, SUM(AR$14:AR$27)+($X$32*$AE$12^AR38)+($V$32+$V$33)*AR$11/1000+SUM($AE$29:$AE$32)*$X$12^AR38+($AG$29+$AG$31)*$X$11^AR38+($X$33*$Z$11^AR38)+IF($X$10-1=AR38, $P54, 0))</f>
        <v>49374.745151708936</v>
      </c>
      <c r="AS55" s="12">
        <f t="shared" ref="AS55" si="64">IF(AS38&gt;=$X$10, 0, SUM(AS$14:AS$27)+($X$32*$AE$12^AS38)+($V$32+$V$33)*AS$11/1000+SUM($AE$29:$AE$32)*$X$12^AS38+($AG$29+$AG$31)*$X$11^AS38+($X$33*$Z$11^AS38)+IF($X$10-1=AS38, $P54, 0))</f>
        <v>50375.144390111556</v>
      </c>
      <c r="AT55" s="12">
        <f t="shared" ref="AT55" si="65">IF(AT38&gt;=$X$10, 0, SUM(AT$14:AT$27)+($X$32*$AE$12^AT38)+($V$32+$V$33)*AT$11/1000+SUM($AE$29:$AE$32)*$X$12^AT38+($AG$29+$AG$31)*$X$11^AT38+($X$33*$Z$11^AT38)+IF($X$10-1=AT38, $P54, 0))</f>
        <v>51399.106629218266</v>
      </c>
      <c r="AU55" s="12">
        <f t="shared" ref="AU55" si="66">IF(AU38&gt;=$X$10, 0, SUM(AU$14:AU$27)+($X$32*$AE$12^AU38)+($V$32+$V$33)*AU$11/1000+SUM($AE$29:$AE$32)*$X$12^AU38+($AG$29+$AG$31)*$X$11^AU38+($X$33*$Z$11^AU38)+IF($X$10-1=AU38, $P54, 0))</f>
        <v>52447.245329680605</v>
      </c>
      <c r="AV55" s="12">
        <f t="shared" ref="AV55" si="67">IF(AV38&gt;=$X$10, 0, SUM(AV$14:AV$27)+($X$32*$AE$12^AV38)+($V$32+$V$33)*AV$11/1000+SUM($AE$29:$AE$32)*$X$12^AV38+($AG$29+$AG$31)*$X$11^AV38+($X$33*$Z$11^AV38)+IF($X$10-1=AV38, $P54, 0))</f>
        <v>170686.13000961518</v>
      </c>
      <c r="AW55" s="12">
        <f t="shared" ref="AW55" si="68">IF(AW38&gt;=$X$10, 0, SUM(AW$14:AW$27)+($X$32*$AE$12^AW38)+($V$32+$V$33)*AW$11/1000+SUM($AE$29:$AE$32)*$X$12^AW38+($AG$29+$AG$31)*$X$11^AW38+($X$33*$Z$11^AW38)+IF($X$10-1=AW38, $P54, 0))</f>
        <v>54618.596330136716</v>
      </c>
      <c r="AX55" s="12">
        <f t="shared" ref="AX55" si="69">IF(AX38&gt;=$X$10, 0, SUM(AX$14:AX$27)+($X$32*$AE$12^AX38)+($V$32+$V$33)*AX$11/1000+SUM($AE$29:$AE$32)*$X$12^AX38+($AG$29+$AG$31)*$X$11^AX38+($X$33*$Z$11^AX38)+IF($X$10-1=AX38, $P54, 0))</f>
        <v>55743.127705123479</v>
      </c>
      <c r="AY55" s="12">
        <f t="shared" ref="AY55" si="70">IF(AY38&gt;=$X$10, 0, SUM(AY$14:AY$27)+($X$32*$AE$12^AY38)+($V$32+$V$33)*AY$11/1000+SUM($AE$29:$AE$32)*$X$12^AY38+($AG$29+$AG$31)*$X$11^AY38+($X$33*$Z$11^AY38)+IF($X$10-1=AY38, $P54, 0))</f>
        <v>56894.474928066651</v>
      </c>
      <c r="AZ55" s="12">
        <f t="shared" ref="AZ55" si="71">IF(AZ38&gt;=$X$10, 0, SUM(AZ$14:AZ$27)+($X$32*$AE$12^AZ38)+($V$32+$V$33)*AZ$11/1000+SUM($AE$29:$AE$32)*$X$12^AZ38+($AG$29+$AG$31)*$X$11^AZ38+($X$33*$Z$11^AZ38)+IF($X$10-1=AZ38, $P54, 0))</f>
        <v>58073.347324743641</v>
      </c>
      <c r="BA55" s="12">
        <f t="shared" ref="BA55" si="72">IF(BA38&gt;=$X$10, 0, SUM(BA$14:BA$27)+($X$32*$AE$12^BA38)+($V$32+$V$33)*BA$11/1000+SUM($AE$29:$AE$32)*$X$12^BA38+($AG$29+$AG$31)*$X$11^BA38+($X$33*$Z$11^BA38)+IF($X$10-1=BA38, $P54, 0))</f>
        <v>59280.475327800108</v>
      </c>
      <c r="BB55" s="12">
        <f t="shared" ref="BB55" si="73">IF(BB38&gt;=$X$10, 0, SUM(BB$14:BB$27)+($X$32*$AE$12^BB38)+($V$32+$V$33)*BB$11/1000+SUM($AE$29:$AE$32)*$X$12^BB38+($AG$29+$AG$31)*$X$11^BB38+($X$33*$Z$11^BB38)+IF($X$10-1=BB38, $P54, 0))</f>
        <v>60516.611175701488</v>
      </c>
      <c r="BC55" s="12">
        <f t="shared" ref="BC55" si="74">IF(BC38&gt;=$X$10, 0, SUM(BC$14:BC$27)+($X$32*$AE$12^BC38)+($V$32+$V$33)*BC$11/1000+SUM($AE$29:$AE$32)*$X$12^BC38+($AG$29+$AG$31)*$X$11^BC38+($X$33*$Z$11^BC38)+IF($X$10-1=BC38, $P54, 0))</f>
        <v>61782.529636736013</v>
      </c>
      <c r="BD55" s="12">
        <f t="shared" ref="BD55" si="75">IF(BD38&gt;=$X$10, 0, SUM(BD$14:BD$27)+($X$32*$AE$12^BD38)+($V$32+$V$33)*BD$11/1000+SUM($AE$29:$AE$32)*$X$12^BD38+($AG$29+$AG$31)*$X$11^BD38+($X$33*$Z$11^BD38)+IF($X$10-1=BD38, $P54, 0))</f>
        <v>200357.59926807458</v>
      </c>
      <c r="BE55" s="12">
        <f t="shared" ref="BE55" si="76">IF(BE38&gt;=$X$10, 0, SUM(BE$14:BE$27)+($X$32*$AE$12^BE38)+($V$32+$V$33)*BE$11/1000+SUM($AE$29:$AE$32)*$X$12^BE38+($AG$29+$AG$31)*$X$11^BE38+($X$33*$Z$11^BE38)+IF($X$10-1=BE38, $P54, 0))</f>
        <v>64406.930647439294</v>
      </c>
      <c r="BF55" s="12">
        <f t="shared" ref="BF55" si="77">IF(BF38&gt;=$X$10, 0, SUM(BF$14:BF$27)+($X$32*$AE$12^BF38)+($V$32+$V$33)*BF$11/1000+SUM($AE$29:$AE$32)*$X$12^BF38+($AG$29+$AG$31)*$X$11^BF38+($X$33*$Z$11^BF38)+IF($X$10-1=BF38, $P54, 0))</f>
        <v>65767.082268684884</v>
      </c>
      <c r="BG55" s="12">
        <f t="shared" ref="BG55" si="78">IF(BG38&gt;=$X$10, 0, SUM(BG$14:BG$27)+($X$32*$AE$12^BG38)+($V$32+$V$33)*BG$11/1000+SUM($AE$29:$AE$32)*$X$12^BG38+($AG$29+$AG$31)*$X$11^BG38+($X$33*$Z$11^BG38)+IF($X$10-1=BG38, $P54, 0))</f>
        <v>67160.35628520856</v>
      </c>
      <c r="BH55" s="12">
        <f t="shared" ref="BH55" si="79">IF(BH38&gt;=$X$10, 0, SUM(BH$14:BH$27)+($X$32*$AE$12^BH38)+($V$32+$V$33)*BH$11/1000+SUM($AE$29:$AE$32)*$X$12^BH38+($AG$29+$AG$31)*$X$11^BH38+($X$33*$Z$11^BH38)+IF($X$10-1=BH38, $P54, 0))</f>
        <v>0</v>
      </c>
      <c r="BI55" s="12">
        <f t="shared" ref="BI55" si="80">IF(BI38&gt;=$X$10, 0, SUM(BI$14:BI$27)+($X$32*$AE$12^BI38)+($V$32+$V$33)*BI$11/1000+SUM($AE$29:$AE$32)*$X$12^BI38+($AG$29+$AG$31)*$X$11^BI38+($X$33*$Z$11^BI38)+IF($X$10-1=BI38, $P54, 0))</f>
        <v>0</v>
      </c>
      <c r="BJ55" s="12">
        <f t="shared" ref="BJ55" si="81">IF(BJ38&gt;=$X$10, 0, SUM(BJ$14:BJ$27)+($X$32*$AE$12^BJ38)+($V$32+$V$33)*BJ$11/1000+SUM($AE$29:$AE$32)*$X$12^BJ38+($AG$29+$AG$31)*$X$11^BJ38+($X$33*$Z$11^BJ38)+IF($X$10-1=BJ38, $P54, 0))</f>
        <v>0</v>
      </c>
      <c r="BK55" s="12">
        <f t="shared" ref="BK55" si="82">IF(BK38&gt;=$X$10, 0, SUM(BK$14:BK$27)+($X$32*$AE$12^BK38)+($V$32+$V$33)*BK$11/1000+SUM($AE$29:$AE$32)*$X$12^BK38+($AG$29+$AG$31)*$X$11^BK38+($X$33*$Z$11^BK38)+IF($X$10-1=BK38, $P54, 0))</f>
        <v>0</v>
      </c>
      <c r="BL55" s="12">
        <f t="shared" ref="BL55" si="83">IF(BL38&gt;=$X$10, 0, SUM(BL$14:BL$27)+($X$32*$AE$12^BL38)+($V$32+$V$33)*BL$11/1000+SUM($AE$29:$AE$32)*$X$12^BL38+($AG$29+$AG$31)*$X$11^BL38+($X$33*$Z$11^BL38)+IF($X$10-1=BL38, $P54, 0))</f>
        <v>0</v>
      </c>
      <c r="BM55" s="12">
        <f t="shared" ref="BM55" si="84">IF(BM38&gt;=$X$10, 0, SUM(BM$14:BM$27)+($X$32*$AE$12^BM38)+($V$32+$V$33)*BM$11/1000+SUM($AE$29:$AE$32)*$X$12^BM38+($AG$29+$AG$31)*$X$11^BM38+($X$33*$Z$11^BM38)+IF($X$10-1=BM38, $P54, 0))</f>
        <v>0</v>
      </c>
      <c r="BN55" s="12">
        <f t="shared" ref="BN55" si="85">IF(BN38&gt;=$X$10, 0, SUM(BN$14:BN$27)+($X$32*$AE$12^BN38)+($V$32+$V$33)*BN$11/1000+SUM($AE$29:$AE$32)*$X$12^BN38+($AG$29+$AG$31)*$X$11^BN38+($X$33*$Z$11^BN38)+IF($X$10-1=BN38, $P54, 0))</f>
        <v>0</v>
      </c>
      <c r="BO55" s="12">
        <f t="shared" ref="BO55" si="86">IF(BO38&gt;=$X$10, 0, SUM(BO$14:BO$27)+($X$32*$AE$12^BO38)+($V$32+$V$33)*BO$11/1000+SUM($AE$29:$AE$32)*$X$12^BO38+($AG$29+$AG$31)*$X$11^BO38+($X$33*$Z$11^BO38)+IF($X$10-1=BO38, $P54, 0))</f>
        <v>0</v>
      </c>
      <c r="BP55" s="12">
        <f t="shared" ref="BP55" si="87">IF(BP38&gt;=$X$10, 0, SUM(BP$14:BP$27)+($X$32*$AE$12^BP38)+($V$32+$V$33)*BP$11/1000+SUM($AE$29:$AE$32)*$X$12^BP38+($AG$29+$AG$31)*$X$11^BP38+($X$33*$Z$11^BP38)+IF($X$10-1=BP38, $P54, 0))</f>
        <v>0</v>
      </c>
      <c r="BQ55" s="12">
        <f t="shared" ref="BQ55" si="88">IF(BQ38&gt;=$X$10, 0, SUM(BQ$14:BQ$27)+($X$32*$AE$12^BQ38)+($V$32+$V$33)*BQ$11/1000+SUM($AE$29:$AE$32)*$X$12^BQ38+($AG$29+$AG$31)*$X$11^BQ38+($X$33*$Z$11^BQ38)+IF($X$10-1=BQ38, $P54, 0))</f>
        <v>0</v>
      </c>
      <c r="BR55" s="12">
        <f t="shared" ref="BR55" si="89">IF(BR38&gt;=$X$10, 0, SUM(BR$14:BR$27)+($X$32*$AE$12^BR38)+($V$32+$V$33)*BR$11/1000+SUM($AE$29:$AE$32)*$X$12^BR38+($AG$29+$AG$31)*$X$11^BR38+($X$33*$Z$11^BR38)+IF($X$10-1=BR38, $P54, 0))</f>
        <v>0</v>
      </c>
      <c r="BS55" s="12">
        <f t="shared" ref="BS55" si="90">IF(BS38&gt;=$X$10, 0, SUM(BS$14:BS$27)+($X$32*$AE$12^BS38)+($V$32+$V$33)*BS$11/1000+SUM($AE$29:$AE$32)*$X$12^BS38+($AG$29+$AG$31)*$X$11^BS38+($X$33*$Z$11^BS38)+IF($X$10-1=BS38, $P54, 0))</f>
        <v>0</v>
      </c>
      <c r="BT55" s="12">
        <f t="shared" ref="BT55" si="91">IF(BT38&gt;=$X$10, 0, SUM(BT$14:BT$27)+($X$32*$AE$12^BT38)+($V$32+$V$33)*BT$11/1000+SUM($AE$29:$AE$32)*$X$12^BT38+($AG$29+$AG$31)*$X$11^BT38+($X$33*$Z$11^BT38)+IF($X$10-1=BT38, $P54, 0))</f>
        <v>0</v>
      </c>
      <c r="BU55" s="12">
        <f t="shared" ref="BU55" si="92">IF(BU38&gt;=$X$10, 0, SUM(BU$14:BU$27)+($X$32*$AE$12^BU38)+($V$32+$V$33)*BU$11/1000+SUM($AE$29:$AE$32)*$X$12^BU38+($AG$29+$AG$31)*$X$11^BU38+($X$33*$Z$11^BU38)+IF($X$10-1=BU38, $P54, 0))</f>
        <v>0</v>
      </c>
      <c r="BV55" s="12">
        <f t="shared" ref="BV55" si="93">IF(BV38&gt;=$X$10, 0, SUM(BV$14:BV$27)+($X$32*$AE$12^BV38)+($V$32+$V$33)*BV$11/1000+SUM($AE$29:$AE$32)*$X$12^BV38+($AG$29+$AG$31)*$X$11^BV38+($X$33*$Z$11^BV38)+IF($X$10-1=BV38, $P54, 0))</f>
        <v>0</v>
      </c>
      <c r="BW55" s="12">
        <f t="shared" ref="BW55" si="94">IF(BW38&gt;=$X$10, 0, SUM(BW$14:BW$27)+($X$32*$AE$12^BW38)+($V$32+$V$33)*BW$11/1000+SUM($AE$29:$AE$32)*$X$12^BW38+($AG$29+$AG$31)*$X$11^BW38+($X$33*$Z$11^BW38)+IF($X$10-1=BW38, $P54, 0))</f>
        <v>0</v>
      </c>
      <c r="BX55" s="12">
        <f t="shared" ref="BX55" si="95">IF(BX38&gt;=$X$10, 0, SUM(BX$14:BX$27)+($X$32*$AE$12^BX38)+($V$32+$V$33)*BX$11/1000+SUM($AE$29:$AE$32)*$X$12^BX38+($AG$29+$AG$31)*$X$11^BX38+($X$33*$Z$11^BX38)+IF($X$10-1=BX38, $P54, 0))</f>
        <v>0</v>
      </c>
      <c r="BY55" s="12">
        <f t="shared" ref="BY55" si="96">IF(BY38&gt;=$X$10, 0, SUM(BY$14:BY$27)+($X$32*$AE$12^BY38)+($V$32+$V$33)*BY$11/1000+SUM($AE$29:$AE$32)*$X$12^BY38+($AG$29+$AG$31)*$X$11^BY38+($X$33*$Z$11^BY38)+IF($X$10-1=BY38, $P54, 0))</f>
        <v>0</v>
      </c>
      <c r="BZ55" s="12">
        <f t="shared" ref="BZ55" si="97">IF(BZ38&gt;=$X$10, 0, SUM(BZ$14:BZ$27)+($X$32*$AE$12^BZ38)+($V$32+$V$33)*BZ$11/1000+SUM($AE$29:$AE$32)*$X$12^BZ38+($AG$29+$AG$31)*$X$11^BZ38+($X$33*$Z$11^BZ38)+IF($X$10-1=BZ38, $P54, 0))</f>
        <v>0</v>
      </c>
      <c r="CA55" s="12">
        <f t="shared" ref="CA55" si="98">IF(CA38&gt;=$X$10, 0, SUM(CA$14:CA$27)+($X$32*$AE$12^CA38)+($V$32+$V$33)*CA$11/1000+SUM($AE$29:$AE$32)*$X$12^CA38+($AG$29+$AG$31)*$X$11^CA38+($X$33*$Z$11^CA38)+IF($X$10-1=CA38, $P54, 0))</f>
        <v>0</v>
      </c>
      <c r="CB55" s="12">
        <f t="shared" ref="CB55" si="99">IF(CB38&gt;=$X$10, 0, SUM(CB$14:CB$27)+($X$32*$AE$12^CB38)+($V$32+$V$33)*CB$11/1000+SUM($AE$29:$AE$32)*$X$12^CB38+($AG$29+$AG$31)*$X$11^CB38+($X$33*$Z$11^CB38)+IF($X$10-1=CB38, $P54, 0))</f>
        <v>0</v>
      </c>
      <c r="CC55" s="12">
        <f t="shared" ref="CC55" si="100">IF(CC38&gt;=$X$10, 0, SUM(CC$14:CC$27)+($X$32*$AE$12^CC38)+($V$32+$V$33)*CC$11/1000+SUM($AE$29:$AE$32)*$X$12^CC38+($AG$29+$AG$31)*$X$11^CC38+($X$33*$Z$11^CC38)+IF($X$10-1=CC38, $P54, 0))</f>
        <v>0</v>
      </c>
      <c r="CD55" s="12">
        <f t="shared" ref="CD55" si="101">IF(CD38&gt;=$X$10, 0, SUM(CD$14:CD$27)+($X$32*$AE$12^CD38)+($V$32+$V$33)*CD$11/1000+SUM($AE$29:$AE$32)*$X$12^CD38+($AG$29+$AG$31)*$X$11^CD38+($X$33*$Z$11^CD38)+IF($X$10-1=CD38, $P54, 0))</f>
        <v>0</v>
      </c>
      <c r="CE55" s="12">
        <f t="shared" ref="CE55" si="102">IF(CE38&gt;=$X$10, 0, SUM(CE$14:CE$27)+($X$32*$AE$12^CE38)+($V$32+$V$33)*CE$11/1000+SUM($AE$29:$AE$32)*$X$12^CE38+($AG$29+$AG$31)*$X$11^CE38+($X$33*$Z$11^CE38)+IF($X$10-1=CE38, $P54, 0))</f>
        <v>0</v>
      </c>
      <c r="CF55" s="12">
        <f t="shared" ref="CF55" si="103">IF(CF38&gt;=$X$10, 0, SUM(CF$14:CF$27)+($X$32*$AE$12^CF38)+($V$32+$V$33)*CF$11/1000+SUM($AE$29:$AE$32)*$X$12^CF38+($AG$29+$AG$31)*$X$11^CF38+($X$33*$Z$11^CF38)+IF($X$10-1=CF38, $P54, 0))</f>
        <v>0</v>
      </c>
      <c r="CG55" s="12">
        <f t="shared" ref="CG55" si="104">IF(CG38&gt;=$X$10, 0, SUM(CG$14:CG$27)+($X$32*$AE$12^CG38)+($V$32+$V$33)*CG$11/1000+SUM($AE$29:$AE$32)*$X$12^CG38+($AG$29+$AG$31)*$X$11^CG38+($X$33*$Z$11^CG38)+IF($X$10-1=CG38, $P54, 0))</f>
        <v>0</v>
      </c>
      <c r="CH55" s="12">
        <f t="shared" ref="CH55" si="105">IF(CH38&gt;=$X$10, 0, SUM(CH$14:CH$27)+($X$32*$AE$12^CH38)+($V$32+$V$33)*CH$11/1000+SUM($AE$29:$AE$32)*$X$12^CH38+($AG$29+$AG$31)*$X$11^CH38+($X$33*$Z$11^CH38)+IF($X$10-1=CH38, $P54, 0))</f>
        <v>0</v>
      </c>
      <c r="CI55" s="12">
        <f t="shared" ref="CI55" si="106">IF(CI38&gt;=$X$10, 0, SUM(CI$14:CI$27)+($X$32*$AE$12^CI38)+($V$32+$V$33)*CI$11/1000+SUM($AE$29:$AE$32)*$X$12^CI38+($AG$29+$AG$31)*$X$11^CI38+($X$33*$Z$11^CI38)+IF($X$10-1=CI38, $P54, 0))</f>
        <v>0</v>
      </c>
      <c r="CJ55" s="12">
        <f t="shared" ref="CJ55" si="107">IF(CJ38&gt;=$X$10, 0, SUM(CJ$14:CJ$27)+($X$32*$AE$12^CJ38)+($V$32+$V$33)*CJ$11/1000+SUM($AE$29:$AE$32)*$X$12^CJ38+($AG$29+$AG$31)*$X$11^CJ38+($X$33*$Z$11^CJ38)+IF($X$10-1=CJ38, $P54, 0))</f>
        <v>0</v>
      </c>
      <c r="CK55" s="12">
        <f t="shared" ref="CK55" si="108">IF(CK38&gt;=$X$10, 0, SUM(CK$14:CK$27)+($X$32*$AE$12^CK38)+($V$32+$V$33)*CK$11/1000+SUM($AE$29:$AE$32)*$X$12^CK38+($AG$29+$AG$31)*$X$11^CK38+($X$33*$Z$11^CK38)+IF($X$10-1=CK38, $P54, 0))</f>
        <v>0</v>
      </c>
      <c r="CL55" s="12">
        <f t="shared" ref="CL55" si="109">IF(CL38&gt;=$X$10, 0, SUM(CL$14:CL$27)+($X$32*$AE$12^CL38)+($V$32+$V$33)*CL$11/1000+SUM($AE$29:$AE$32)*$X$12^CL38+($AG$29+$AG$31)*$X$11^CL38+($X$33*$Z$11^CL38)+IF($X$10-1=CL38, $P54, 0))</f>
        <v>0</v>
      </c>
      <c r="CM55" s="12">
        <f t="shared" ref="CM55" si="110">IF(CM38&gt;=$X$10, 0, SUM(CM$14:CM$27)+($X$32*$AE$12^CM38)+($V$32+$V$33)*CM$11/1000+SUM($AE$29:$AE$32)*$X$12^CM38+($AG$29+$AG$31)*$X$11^CM38+($X$33*$Z$11^CM38)+IF($X$10-1=CM38, $P54, 0))</f>
        <v>0</v>
      </c>
      <c r="CN55" s="12">
        <f t="shared" ref="CN55" si="111">IF(CN38&gt;=$X$10, 0, SUM(CN$14:CN$27)+($X$32*$AE$12^CN38)+($V$32+$V$33)*CN$11/1000+SUM($AE$29:$AE$32)*$X$12^CN38+($AG$29+$AG$31)*$X$11^CN38+($X$33*$Z$11^CN38)+IF($X$10-1=CN38, $P54, 0))</f>
        <v>0</v>
      </c>
      <c r="CO55" s="12">
        <f t="shared" ref="CO55" si="112">IF(CO38&gt;=$X$10, 0, SUM(CO$14:CO$27)+($X$32*$AE$12^CO38)+($V$32+$V$33)*CO$11/1000+SUM($AE$29:$AE$32)*$X$12^CO38+($AG$29+$AG$31)*$X$11^CO38+($X$33*$Z$11^CO38)+IF($X$10-1=CO38, $P54, 0))</f>
        <v>0</v>
      </c>
      <c r="CP55" s="12">
        <f t="shared" ref="CP55" si="113">IF(CP38&gt;=$X$10, 0, SUM(CP$14:CP$27)+($X$32*$AE$12^CP38)+($V$32+$V$33)*CP$11/1000+SUM($AE$29:$AE$32)*$X$12^CP38+($AG$29+$AG$31)*$X$11^CP38+($X$33*$Z$11^CP38)+IF($X$10-1=CP38, $P54, 0))</f>
        <v>0</v>
      </c>
      <c r="CQ55" s="12">
        <f t="shared" ref="CQ55" si="114">IF(CQ38&gt;=$X$10, 0, SUM(CQ$14:CQ$27)+($X$32*$AE$12^CQ38)+($V$32+$V$33)*CQ$11/1000+SUM($AE$29:$AE$32)*$X$12^CQ38+($AG$29+$AG$31)*$X$11^CQ38+($X$33*$Z$11^CQ38)+IF($X$10-1=CQ38, $P54, 0))</f>
        <v>0</v>
      </c>
      <c r="CR55" s="12">
        <f t="shared" ref="CR55" si="115">IF(CR38&gt;=$X$10, 0, SUM(CR$14:CR$27)+($X$32*$AE$12^CR38)+($V$32+$V$33)*CR$11/1000+SUM($AE$29:$AE$32)*$X$12^CR38+($AG$29+$AG$31)*$X$11^CR38+($X$33*$Z$11^CR38)+IF($X$10-1=CR38, $P54, 0))</f>
        <v>0</v>
      </c>
      <c r="CS55" s="12">
        <f t="shared" ref="CS55" si="116">IF(CS38&gt;=$X$10, 0, SUM(CS$14:CS$27)+($X$32*$AE$12^CS38)+($V$32+$V$33)*CS$11/1000+SUM($AE$29:$AE$32)*$X$12^CS38+($AG$29+$AG$31)*$X$11^CS38+($X$33*$Z$11^CS38)+IF($X$10-1=CS38, $P54, 0))</f>
        <v>0</v>
      </c>
      <c r="CT55" s="12">
        <f t="shared" ref="CT55" si="117">IF(CT38&gt;=$X$10, 0, SUM(CT$14:CT$27)+($X$32*$AE$12^CT38)+($V$32+$V$33)*CT$11/1000+SUM($AE$29:$AE$32)*$X$12^CT38+($AG$29+$AG$31)*$X$11^CT38+($X$33*$Z$11^CT38)+IF($X$10-1=CT38, $P54, 0))</f>
        <v>0</v>
      </c>
      <c r="CU55" s="12">
        <f t="shared" ref="CU55" si="118">IF(CU38&gt;=$X$10, 0, SUM(CU$14:CU$27)+($X$32*$AE$12^CU38)+($V$32+$V$33)*CU$11/1000+SUM($AE$29:$AE$32)*$X$12^CU38+($AG$29+$AG$31)*$X$11^CU38+($X$33*$Z$11^CU38)+IF($X$10-1=CU38, $P54, 0))</f>
        <v>0</v>
      </c>
      <c r="CV55" s="12">
        <f t="shared" ref="CV55" si="119">IF(CV38&gt;=$X$10, 0, SUM(CV$14:CV$27)+($X$32*$AE$12^CV38)+($V$32+$V$33)*CV$11/1000+SUM($AE$29:$AE$32)*$X$12^CV38+($AG$29+$AG$31)*$X$11^CV38+($X$33*$Z$11^CV38)+IF($X$10-1=CV38, $P54, 0))</f>
        <v>0</v>
      </c>
      <c r="CW55" s="12">
        <f t="shared" ref="CW55" si="120">IF(CW38&gt;=$X$10, 0, SUM(CW$14:CW$27)+($X$32*$AE$12^CW38)+($V$32+$V$33)*CW$11/1000+SUM($AE$29:$AE$32)*$X$12^CW38+($AG$29+$AG$31)*$X$11^CW38+($X$33*$Z$11^CW38)+IF($X$10-1=CW38, $P54, 0))</f>
        <v>0</v>
      </c>
      <c r="CX55" s="12">
        <f t="shared" ref="CX55" si="121">IF(CX38&gt;=$X$10, 0, SUM(CX$14:CX$27)+($X$32*$AE$12^CX38)+($V$32+$V$33)*CX$11/1000+SUM($AE$29:$AE$32)*$X$12^CX38+($AG$29+$AG$31)*$X$11^CX38+($X$33*$Z$11^CX38)+IF($X$10-1=CX38, $P54, 0))</f>
        <v>0</v>
      </c>
      <c r="CY55" s="12">
        <f t="shared" ref="CY55" si="122">IF(CY38&gt;=$X$10, 0, SUM(CY$14:CY$27)+($X$32*$AE$12^CY38)+($V$32+$V$33)*CY$11/1000+SUM($AE$29:$AE$32)*$X$12^CY38+($AG$29+$AG$31)*$X$11^CY38+($X$33*$Z$11^CY38)+IF($X$10-1=CY38, $P54, 0))</f>
        <v>0</v>
      </c>
      <c r="CZ55" s="12">
        <f t="shared" ref="CZ55" si="123">IF(CZ38&gt;=$X$10, 0, SUM(CZ$14:CZ$27)+($X$32*$AE$12^CZ38)+($V$32+$V$33)*CZ$11/1000+SUM($AE$29:$AE$32)*$X$12^CZ38+($AG$29+$AG$31)*$X$11^CZ38+($X$33*$Z$11^CZ38)+IF($X$10-1=CZ38, $P54, 0))</f>
        <v>0</v>
      </c>
      <c r="DA55" s="12">
        <f t="shared" ref="DA55" si="124">IF(DA38&gt;=$X$10, 0, SUM(DA$14:DA$27)+($X$32*$AE$12^DA38)+($V$32+$V$33)*DA$11/1000+SUM($AE$29:$AE$32)*$X$12^DA38+($AG$29+$AG$31)*$X$11^DA38+($X$33*$Z$11^DA38)+IF($X$10-1=DA38, $P54, 0))</f>
        <v>0</v>
      </c>
      <c r="DB55" s="12">
        <f t="shared" ref="DB55" si="125">IF(DB38&gt;=$X$10, 0, SUM(DB$14:DB$27)+($X$32*$AE$12^DB38)+($V$32+$V$33)*DB$11/1000+SUM($AE$29:$AE$32)*$X$12^DB38+($AG$29+$AG$31)*$X$11^DB38+($X$33*$Z$11^DB38)+IF($X$10-1=DB38, $P54, 0))</f>
        <v>0</v>
      </c>
      <c r="DC55" s="12">
        <f t="shared" ref="DC55" si="126">IF(DC38&gt;=$X$10, 0, SUM(DC$14:DC$27)+($X$32*$AE$12^DC38)+($V$32+$V$33)*DC$11/1000+SUM($AE$29:$AE$32)*$X$12^DC38+($AG$29+$AG$31)*$X$11^DC38+($X$33*$Z$11^DC38)+IF($X$10-1=DC38, $P54, 0))</f>
        <v>0</v>
      </c>
      <c r="DD55" s="12">
        <f t="shared" ref="DD55" si="127">IF(DD38&gt;=$X$10, 0, SUM(DD$14:DD$27)+($X$32*$AE$12^DD38)+($V$32+$V$33)*DD$11/1000+SUM($AE$29:$AE$32)*$X$12^DD38+($AG$29+$AG$31)*$X$11^DD38+($X$33*$Z$11^DD38)+IF($X$10-1=DD38, $P54, 0))</f>
        <v>0</v>
      </c>
      <c r="DE55" s="12">
        <f t="shared" ref="DE55" si="128">IF(DE38&gt;=$X$10, 0, SUM(DE$14:DE$27)+($X$32*$AE$12^DE38)+($V$32+$V$33)*DE$11/1000+SUM($AE$29:$AE$32)*$X$12^DE38+($AG$29+$AG$31)*$X$11^DE38+($X$33*$Z$11^DE38)+IF($X$10-1=DE38, $P54, 0))</f>
        <v>0</v>
      </c>
      <c r="DF55" s="12">
        <f t="shared" ref="DF55" si="129">IF(DF38&gt;=$X$10, 0, SUM(DF$14:DF$27)+($X$32*$AE$12^DF38)+($V$32+$V$33)*DF$11/1000+SUM($AE$29:$AE$32)*$X$12^DF38+($AG$29+$AG$31)*$X$11^DF38+($X$33*$Z$11^DF38)+IF($X$10-1=DF38, $P54, 0))</f>
        <v>0</v>
      </c>
      <c r="DG55" s="12">
        <f t="shared" ref="DG55" si="130">IF(DG38&gt;=$X$10, 0, SUM(DG$14:DG$27)+($X$32*$AE$12^DG38)+($V$32+$V$33)*DG$11/1000+SUM($AE$29:$AE$32)*$X$12^DG38+($AG$29+$AG$31)*$X$11^DG38+($X$33*$Z$11^DG38)+IF($X$10-1=DG38, $P54, 0))</f>
        <v>0</v>
      </c>
      <c r="DH55" s="12">
        <f t="shared" ref="DH55" si="131">IF(DH38&gt;=$X$10, 0, SUM(DH$14:DH$27)+($X$32*$AE$12^DH38)+($V$32+$V$33)*DH$11/1000+SUM($AE$29:$AE$32)*$X$12^DH38+($AG$29+$AG$31)*$X$11^DH38+($X$33*$Z$11^DH38)+IF($X$10-1=DH38, $P54, 0))</f>
        <v>0</v>
      </c>
      <c r="DI55" s="12">
        <f t="shared" ref="DI55" si="132">IF(DI38&gt;=$X$10, 0, SUM(DI$14:DI$27)+($X$32*$AE$12^DI38)+($V$32+$V$33)*DI$11/1000+SUM($AE$29:$AE$32)*$X$12^DI38+($AG$29+$AG$31)*$X$11^DI38+($X$33*$Z$11^DI38)+IF($X$10-1=DI38, $P54, 0))</f>
        <v>0</v>
      </c>
      <c r="DJ55" s="12">
        <f t="shared" ref="DJ55" si="133">IF(DJ38&gt;=$X$10, 0, SUM(DJ$14:DJ$27)+($X$32*$AE$12^DJ38)+($V$32+$V$33)*DJ$11/1000+SUM($AE$29:$AE$32)*$X$12^DJ38+($AG$29+$AG$31)*$X$11^DJ38+($X$33*$Z$11^DJ38)+IF($X$10-1=DJ38, $P54, 0))</f>
        <v>0</v>
      </c>
      <c r="DK55" s="12">
        <f t="shared" ref="DK55" si="134">IF(DK38&gt;=$X$10, 0, SUM(DK$14:DK$27)+($X$32*$AE$12^DK38)+($V$32+$V$33)*DK$11/1000+SUM($AE$29:$AE$32)*$X$12^DK38+($AG$29+$AG$31)*$X$11^DK38+($X$33*$Z$11^DK38)+IF($X$10-1=DK38, $P54, 0))</f>
        <v>0</v>
      </c>
      <c r="DL55" s="12">
        <f t="shared" ref="DL55" si="135">IF(DL38&gt;=$X$10, 0, SUM(DL$14:DL$27)+($X$32*$AE$12^DL38)+($V$32+$V$33)*DL$11/1000+SUM($AE$29:$AE$32)*$X$12^DL38+($AG$29+$AG$31)*$X$11^DL38+($X$33*$Z$11^DL38)+IF($X$10-1=DL38, $P54, 0))</f>
        <v>0</v>
      </c>
      <c r="DM55" s="12">
        <f t="shared" ref="DM55" si="136">IF(DM38&gt;=$X$10, 0, SUM(DM$14:DM$27)+($X$32*$AE$12^DM38)+($V$32+$V$33)*DM$11/1000+SUM($AE$29:$AE$32)*$X$12^DM38+($AG$29+$AG$31)*$X$11^DM38+($X$33*$Z$11^DM38)+IF($X$10-1=DM38, $P54, 0))</f>
        <v>0</v>
      </c>
      <c r="DN55" s="12">
        <f t="shared" ref="DN55" si="137">IF(DN38&gt;=$X$10, 0, SUM(DN$14:DN$27)+($X$32*$AE$12^DN38)+($V$32+$V$33)*DN$11/1000+SUM($AE$29:$AE$32)*$X$12^DN38+($AG$29+$AG$31)*$X$11^DN38+($X$33*$Z$11^DN38)+IF($X$10-1=DN38, $P54, 0))</f>
        <v>0</v>
      </c>
      <c r="DO55" s="12">
        <f t="shared" ref="DO55" si="138">IF(DO38&gt;=$X$10, 0, SUM(DO$14:DO$27)+($X$32*$AE$12^DO38)+($V$32+$V$33)*DO$11/1000+SUM($AE$29:$AE$32)*$X$12^DO38+($AG$29+$AG$31)*$X$11^DO38+($X$33*$Z$11^DO38)+IF($X$10-1=DO38, $P54, 0))</f>
        <v>0</v>
      </c>
      <c r="DP55" s="12">
        <f t="shared" ref="DP55" si="139">IF(DP38&gt;=$X$10, 0, SUM(DP$14:DP$27)+($X$32*$AE$12^DP38)+($V$32+$V$33)*DP$11/1000+SUM($AE$29:$AE$32)*$X$12^DP38+($AG$29+$AG$31)*$X$11^DP38+($X$33*$Z$11^DP38)+IF($X$10-1=DP38, $P54, 0))</f>
        <v>0</v>
      </c>
      <c r="DQ55" s="12">
        <f t="shared" ref="DQ55" si="140">IF(DQ38&gt;=$X$10, 0, SUM(DQ$14:DQ$27)+($X$32*$AE$12^DQ38)+($V$32+$V$33)*DQ$11/1000+SUM($AE$29:$AE$32)*$X$12^DQ38+($AG$29+$AG$31)*$X$11^DQ38+($X$33*$Z$11^DQ38)+IF($X$10-1=DQ38, $P54, 0))</f>
        <v>0</v>
      </c>
      <c r="DR55" s="12">
        <f t="shared" ref="DR55" si="141">IF(DR38&gt;=$X$10, 0, SUM(DR$14:DR$27)+($X$32*$AE$12^DR38)+($V$32+$V$33)*DR$11/1000+SUM($AE$29:$AE$32)*$X$12^DR38+($AG$29+$AG$31)*$X$11^DR38+($X$33*$Z$11^DR38)+IF($X$10-1=DR38, $P54, 0))</f>
        <v>0</v>
      </c>
      <c r="DS55" s="12">
        <f t="shared" ref="DS55" si="142">IF(DS38&gt;=$X$10, 0, SUM(DS$14:DS$27)+($X$32*$AE$12^DS38)+($V$32+$V$33)*DS$11/1000+SUM($AE$29:$AE$32)*$X$12^DS38+($AG$29+$AG$31)*$X$11^DS38+($X$33*$Z$11^DS38)+IF($X$10-1=DS38, $P54, 0))</f>
        <v>0</v>
      </c>
      <c r="DT55" s="12">
        <f t="shared" ref="DT55" si="143">IF(DT38&gt;=$X$10, 0, SUM(DT$14:DT$27)+($X$32*$AE$12^DT38)+($V$32+$V$33)*DT$11/1000+SUM($AE$29:$AE$32)*$X$12^DT38+($AG$29+$AG$31)*$X$11^DT38+($X$33*$Z$11^DT38)+IF($X$10-1=DT38, $P54, 0))</f>
        <v>0</v>
      </c>
      <c r="DU55" s="12">
        <f t="shared" ref="DU55" si="144">IF(DU38&gt;=$X$10, 0, SUM(DU$14:DU$27)+($X$32*$AE$12^DU38)+($V$32+$V$33)*DU$11/1000+SUM($AE$29:$AE$32)*$X$12^DU38+($AG$29+$AG$31)*$X$11^DU38+($X$33*$Z$11^DU38)+IF($X$10-1=DU38, $P54, 0))</f>
        <v>0</v>
      </c>
      <c r="DV55" s="12">
        <f t="shared" ref="DV55" si="145">IF(DV38&gt;=$X$10, 0, SUM(DV$14:DV$27)+($X$32*$AE$12^DV38)+($V$32+$V$33)*DV$11/1000+SUM($AE$29:$AE$32)*$X$12^DV38+($AG$29+$AG$31)*$X$11^DV38+($X$33*$Z$11^DV38)+IF($X$10-1=DV38, $P54, 0))</f>
        <v>0</v>
      </c>
      <c r="DW55" s="12">
        <f t="shared" ref="DW55" si="146">IF(DW38&gt;=$X$10, 0, SUM(DW$14:DW$27)+($X$32*$AE$12^DW38)+($V$32+$V$33)*DW$11/1000+SUM($AE$29:$AE$32)*$X$12^DW38+($AG$29+$AG$31)*$X$11^DW38+($X$33*$Z$11^DW38)+IF($X$10-1=DW38, $P54, 0))</f>
        <v>0</v>
      </c>
      <c r="DX55" s="12">
        <f t="shared" ref="DX55" si="147">IF(DX38&gt;=$X$10, 0, SUM(DX$14:DX$27)+($X$32*$AE$12^DX38)+($V$32+$V$33)*DX$11/1000+SUM($AE$29:$AE$32)*$X$12^DX38+($AG$29+$AG$31)*$X$11^DX38+($X$33*$Z$11^DX38)+IF($X$10-1=DX38, $P54, 0))</f>
        <v>0</v>
      </c>
      <c r="DY55" s="12">
        <f t="shared" ref="DY55" si="148">IF(DY38&gt;=$X$10, 0, SUM(DY$14:DY$27)+($X$32*$AE$12^DY38)+($V$32+$V$33)*DY$11/1000+SUM($AE$29:$AE$32)*$X$12^DY38+($AG$29+$AG$31)*$X$11^DY38+($X$33*$Z$11^DY38)+IF($X$10-1=DY38, $P54, 0))</f>
        <v>0</v>
      </c>
      <c r="DZ55" s="12">
        <f t="shared" ref="DZ55" si="149">IF(DZ38&gt;=$X$10, 0, SUM(DZ$14:DZ$27)+($X$32*$AE$12^DZ38)+($V$32+$V$33)*DZ$11/1000+SUM($AE$29:$AE$32)*$X$12^DZ38+($AG$29+$AG$31)*$X$11^DZ38+($X$33*$Z$11^DZ38)+IF($X$10-1=DZ38, $P54, 0))</f>
        <v>0</v>
      </c>
      <c r="EA55" s="12">
        <f t="shared" ref="EA55" si="150">IF(EA38&gt;=$X$10, 0, SUM(EA$14:EA$27)+($X$32*$AE$12^EA38)+($V$32+$V$33)*EA$11/1000+SUM($AE$29:$AE$32)*$X$12^EA38+($AG$29+$AG$31)*$X$11^EA38+($X$33*$Z$11^EA38)+IF($X$10-1=EA38, $P54, 0))</f>
        <v>0</v>
      </c>
      <c r="EB55" s="12">
        <f t="shared" ref="EB55" si="151">IF(EB38&gt;=$X$10, 0, SUM(EB$14:EB$27)+($X$32*$AE$12^EB38)+($V$32+$V$33)*EB$11/1000+SUM($AE$29:$AE$32)*$X$12^EB38+($AG$29+$AG$31)*$X$11^EB38+($X$33*$Z$11^EB38)+IF($X$10-1=EB38, $P54, 0))</f>
        <v>0</v>
      </c>
      <c r="EC55" s="12">
        <f t="shared" ref="EC55" si="152">IF(EC38&gt;=$X$10, 0, SUM(EC$14:EC$27)+($X$32*$AE$12^EC38)+($V$32+$V$33)*EC$11/1000+SUM($AE$29:$AE$32)*$X$12^EC38+($AG$29+$AG$31)*$X$11^EC38+($X$33*$Z$11^EC38)+IF($X$10-1=EC38, $P54, 0))</f>
        <v>0</v>
      </c>
      <c r="ED55" s="12">
        <f t="shared" ref="ED55" si="153">IF(ED38&gt;=$X$10, 0, SUM(ED$14:ED$27)+($X$32*$AE$12^ED38)+($V$32+$V$33)*ED$11/1000+SUM($AE$29:$AE$32)*$X$12^ED38+($AG$29+$AG$31)*$X$11^ED38+($X$33*$Z$11^ED38)+IF($X$10-1=ED38, $P54, 0))</f>
        <v>0</v>
      </c>
      <c r="EE55" s="12">
        <f t="shared" ref="EE55" si="154">IF(EE38&gt;=$X$10, 0, SUM(EE$14:EE$27)+($X$32*$AE$12^EE38)+($V$32+$V$33)*EE$11/1000+SUM($AE$29:$AE$32)*$X$12^EE38+($AG$29+$AG$31)*$X$11^EE38+($X$33*$Z$11^EE38)+IF($X$10-1=EE38, $P54, 0))</f>
        <v>0</v>
      </c>
      <c r="EF55" s="12">
        <f t="shared" ref="EF55" si="155">IF(EF38&gt;=$X$10, 0, SUM(EF$14:EF$27)+($X$32*$AE$12^EF38)+($V$32+$V$33)*EF$11/1000+SUM($AE$29:$AE$32)*$X$12^EF38+($AG$29+$AG$31)*$X$11^EF38+($X$33*$Z$11^EF38)+IF($X$10-1=EF38, $P54, 0))</f>
        <v>0</v>
      </c>
      <c r="EG55" s="12">
        <f t="shared" ref="EG55" si="156">IF(EG38&gt;=$X$10, 0, SUM(EG$14:EG$27)+($X$32*$AE$12^EG38)+($V$32+$V$33)*EG$11/1000+SUM($AE$29:$AE$32)*$X$12^EG38+($AG$29+$AG$31)*$X$11^EG38+($X$33*$Z$11^EG38)+IF($X$10-1=EG38, $P54, 0))</f>
        <v>0</v>
      </c>
      <c r="EH55" s="12">
        <f t="shared" ref="EH55" si="157">IF(EH38&gt;=$X$10, 0, SUM(EH$14:EH$27)+($X$32*$AE$12^EH38)+($V$32+$V$33)*EH$11/1000+SUM($AE$29:$AE$32)*$X$12^EH38+($AG$29+$AG$31)*$X$11^EH38+($X$33*$Z$11^EH38)+IF($X$10-1=EH38, $P54, 0))</f>
        <v>0</v>
      </c>
      <c r="EI55" s="12">
        <f t="shared" ref="EI55" si="158">IF(EI38&gt;=$X$10, 0, SUM(EI$14:EI$27)+($X$32*$AE$12^EI38)+($V$32+$V$33)*EI$11/1000+SUM($AE$29:$AE$32)*$X$12^EI38+($AG$29+$AG$31)*$X$11^EI38+($X$33*$Z$11^EI38)+IF($X$10-1=EI38, $P54, 0))</f>
        <v>0</v>
      </c>
      <c r="EJ55" s="12">
        <f t="shared" ref="EJ55" si="159">IF(EJ38&gt;=$X$10, 0, SUM(EJ$14:EJ$27)+($X$32*$AE$12^EJ38)+($V$32+$V$33)*EJ$11/1000+SUM($AE$29:$AE$32)*$X$12^EJ38+($AG$29+$AG$31)*$X$11^EJ38+($X$33*$Z$11^EJ38)+IF($X$10-1=EJ38, $P54, 0))</f>
        <v>0</v>
      </c>
    </row>
    <row r="56" spans="1:345" x14ac:dyDescent="0.35">
      <c r="A56" s="132"/>
      <c r="B56" s="27"/>
      <c r="C56" s="27"/>
      <c r="D56" s="27"/>
      <c r="E56" s="27"/>
      <c r="F56" s="27"/>
      <c r="G56" s="27"/>
      <c r="H56" s="34"/>
      <c r="I56" s="39"/>
      <c r="J56" s="27"/>
      <c r="K56" s="27"/>
      <c r="L56" s="27"/>
      <c r="M56" s="27"/>
      <c r="N56" s="27"/>
      <c r="O56" s="34"/>
      <c r="P56" s="27"/>
      <c r="Q56" s="27"/>
      <c r="R56" s="132"/>
      <c r="T56" t="s">
        <v>297</v>
      </c>
      <c r="U56">
        <f>$X57+SUM($AE54:$AE57)+$AG54+$AG56+'General Project Info'!$K$20/1000*($V57+$V58)+$X58</f>
        <v>0</v>
      </c>
      <c r="Z56" t="s">
        <v>296</v>
      </c>
      <c r="AA56" t="s">
        <v>281</v>
      </c>
      <c r="AE56">
        <f>IF(I55&lt;&gt;0, 0, IF($V$10="Carbon Offset", $I54*$V$12, 0))</f>
        <v>0</v>
      </c>
      <c r="AG56">
        <f>IF(I55&lt;&gt;0, 0, IF($V$10="RECs", (-$I54/(VLOOKUP("RECs", 'General Project Info'!$R$30:$W$40, 5, FALSE)))*$V$11, 0))</f>
        <v>0</v>
      </c>
      <c r="AK56" s="12"/>
      <c r="AM56" t="s">
        <v>295</v>
      </c>
      <c r="AN56" s="12" t="e">
        <f>AN54+AN55</f>
        <v>#DIV/0!</v>
      </c>
      <c r="AO56" s="12" t="e">
        <f t="shared" ref="AO56:CZ56" si="160">AO54+AO55</f>
        <v>#DIV/0!</v>
      </c>
      <c r="AP56" s="12" t="e">
        <f>AP54+AP55</f>
        <v>#DIV/0!</v>
      </c>
      <c r="AQ56" s="12" t="e">
        <f>AQ54+AQ55</f>
        <v>#DIV/0!</v>
      </c>
      <c r="AR56" s="12" t="e">
        <f>AR54+AR55</f>
        <v>#DIV/0!</v>
      </c>
      <c r="AS56" s="12" t="e">
        <f t="shared" si="160"/>
        <v>#DIV/0!</v>
      </c>
      <c r="AT56" s="12" t="e">
        <f t="shared" si="160"/>
        <v>#DIV/0!</v>
      </c>
      <c r="AU56" s="12" t="e">
        <f t="shared" si="160"/>
        <v>#DIV/0!</v>
      </c>
      <c r="AV56" s="12" t="e">
        <f t="shared" si="160"/>
        <v>#DIV/0!</v>
      </c>
      <c r="AW56" s="12" t="e">
        <f t="shared" si="160"/>
        <v>#DIV/0!</v>
      </c>
      <c r="AX56" s="12" t="e">
        <f t="shared" si="160"/>
        <v>#DIV/0!</v>
      </c>
      <c r="AY56" s="12" t="e">
        <f t="shared" si="160"/>
        <v>#DIV/0!</v>
      </c>
      <c r="AZ56" s="12" t="e">
        <f t="shared" si="160"/>
        <v>#DIV/0!</v>
      </c>
      <c r="BA56" s="12" t="e">
        <f t="shared" si="160"/>
        <v>#DIV/0!</v>
      </c>
      <c r="BB56" s="12" t="e">
        <f t="shared" si="160"/>
        <v>#DIV/0!</v>
      </c>
      <c r="BC56" s="12" t="e">
        <f t="shared" si="160"/>
        <v>#DIV/0!</v>
      </c>
      <c r="BD56" s="12" t="e">
        <f t="shared" si="160"/>
        <v>#DIV/0!</v>
      </c>
      <c r="BE56" s="12" t="e">
        <f t="shared" si="160"/>
        <v>#DIV/0!</v>
      </c>
      <c r="BF56" s="12" t="e">
        <f t="shared" si="160"/>
        <v>#DIV/0!</v>
      </c>
      <c r="BG56" s="12" t="e">
        <f t="shared" si="160"/>
        <v>#DIV/0!</v>
      </c>
      <c r="BH56" s="12">
        <f t="shared" si="160"/>
        <v>0</v>
      </c>
      <c r="BI56" s="12">
        <f t="shared" si="160"/>
        <v>0</v>
      </c>
      <c r="BJ56" s="12">
        <f t="shared" si="160"/>
        <v>0</v>
      </c>
      <c r="BK56" s="12">
        <f t="shared" si="160"/>
        <v>0</v>
      </c>
      <c r="BL56" s="12">
        <f t="shared" si="160"/>
        <v>0</v>
      </c>
      <c r="BM56" s="12">
        <f t="shared" si="160"/>
        <v>0</v>
      </c>
      <c r="BN56" s="12">
        <f t="shared" si="160"/>
        <v>0</v>
      </c>
      <c r="BO56" s="12">
        <f t="shared" si="160"/>
        <v>0</v>
      </c>
      <c r="BP56" s="12">
        <f t="shared" si="160"/>
        <v>0</v>
      </c>
      <c r="BQ56" s="12">
        <f t="shared" si="160"/>
        <v>0</v>
      </c>
      <c r="BR56" s="12">
        <f t="shared" si="160"/>
        <v>0</v>
      </c>
      <c r="BS56" s="12">
        <f t="shared" si="160"/>
        <v>0</v>
      </c>
      <c r="BT56" s="12">
        <f t="shared" si="160"/>
        <v>0</v>
      </c>
      <c r="BU56" s="12">
        <f t="shared" si="160"/>
        <v>0</v>
      </c>
      <c r="BV56" s="12">
        <f t="shared" si="160"/>
        <v>0</v>
      </c>
      <c r="BW56" s="12">
        <f t="shared" si="160"/>
        <v>0</v>
      </c>
      <c r="BX56" s="12">
        <f t="shared" si="160"/>
        <v>0</v>
      </c>
      <c r="BY56" s="12">
        <f t="shared" si="160"/>
        <v>0</v>
      </c>
      <c r="BZ56" s="12">
        <f t="shared" si="160"/>
        <v>0</v>
      </c>
      <c r="CA56" s="12">
        <f t="shared" si="160"/>
        <v>0</v>
      </c>
      <c r="CB56" s="12">
        <f t="shared" si="160"/>
        <v>0</v>
      </c>
      <c r="CC56" s="12">
        <f t="shared" si="160"/>
        <v>0</v>
      </c>
      <c r="CD56" s="12">
        <f t="shared" si="160"/>
        <v>0</v>
      </c>
      <c r="CE56" s="12">
        <f t="shared" si="160"/>
        <v>0</v>
      </c>
      <c r="CF56" s="12">
        <f t="shared" si="160"/>
        <v>0</v>
      </c>
      <c r="CG56" s="12">
        <f t="shared" si="160"/>
        <v>0</v>
      </c>
      <c r="CH56" s="12">
        <f t="shared" si="160"/>
        <v>0</v>
      </c>
      <c r="CI56" s="12">
        <f t="shared" si="160"/>
        <v>0</v>
      </c>
      <c r="CJ56" s="12">
        <f t="shared" si="160"/>
        <v>0</v>
      </c>
      <c r="CK56" s="12">
        <f t="shared" si="160"/>
        <v>0</v>
      </c>
      <c r="CL56" s="12">
        <f t="shared" si="160"/>
        <v>0</v>
      </c>
      <c r="CM56" s="12">
        <f t="shared" si="160"/>
        <v>0</v>
      </c>
      <c r="CN56" s="12">
        <f t="shared" si="160"/>
        <v>0</v>
      </c>
      <c r="CO56" s="12">
        <f t="shared" si="160"/>
        <v>0</v>
      </c>
      <c r="CP56" s="12">
        <f t="shared" si="160"/>
        <v>0</v>
      </c>
      <c r="CQ56" s="12">
        <f t="shared" si="160"/>
        <v>0</v>
      </c>
      <c r="CR56" s="12">
        <f t="shared" si="160"/>
        <v>0</v>
      </c>
      <c r="CS56" s="12">
        <f t="shared" si="160"/>
        <v>0</v>
      </c>
      <c r="CT56" s="12">
        <f t="shared" si="160"/>
        <v>0</v>
      </c>
      <c r="CU56" s="12">
        <f t="shared" si="160"/>
        <v>0</v>
      </c>
      <c r="CV56" s="12">
        <f t="shared" si="160"/>
        <v>0</v>
      </c>
      <c r="CW56" s="12">
        <f t="shared" si="160"/>
        <v>0</v>
      </c>
      <c r="CX56" s="12">
        <f t="shared" si="160"/>
        <v>0</v>
      </c>
      <c r="CY56" s="12">
        <f t="shared" si="160"/>
        <v>0</v>
      </c>
      <c r="CZ56" s="12">
        <f t="shared" si="160"/>
        <v>0</v>
      </c>
      <c r="DA56" s="12">
        <f t="shared" ref="DA56:EJ56" si="161">DA54+DA55</f>
        <v>0</v>
      </c>
      <c r="DB56" s="12">
        <f t="shared" si="161"/>
        <v>0</v>
      </c>
      <c r="DC56" s="12">
        <f t="shared" si="161"/>
        <v>0</v>
      </c>
      <c r="DD56" s="12">
        <f t="shared" si="161"/>
        <v>0</v>
      </c>
      <c r="DE56" s="12">
        <f t="shared" si="161"/>
        <v>0</v>
      </c>
      <c r="DF56" s="12">
        <f t="shared" si="161"/>
        <v>0</v>
      </c>
      <c r="DG56" s="12">
        <f t="shared" si="161"/>
        <v>0</v>
      </c>
      <c r="DH56" s="12">
        <f t="shared" si="161"/>
        <v>0</v>
      </c>
      <c r="DI56" s="12">
        <f t="shared" si="161"/>
        <v>0</v>
      </c>
      <c r="DJ56" s="12">
        <f t="shared" si="161"/>
        <v>0</v>
      </c>
      <c r="DK56" s="12">
        <f t="shared" si="161"/>
        <v>0</v>
      </c>
      <c r="DL56" s="12">
        <f t="shared" si="161"/>
        <v>0</v>
      </c>
      <c r="DM56" s="12">
        <f t="shared" si="161"/>
        <v>0</v>
      </c>
      <c r="DN56" s="12">
        <f t="shared" si="161"/>
        <v>0</v>
      </c>
      <c r="DO56" s="12">
        <f t="shared" si="161"/>
        <v>0</v>
      </c>
      <c r="DP56" s="12">
        <f t="shared" si="161"/>
        <v>0</v>
      </c>
      <c r="DQ56" s="12">
        <f t="shared" si="161"/>
        <v>0</v>
      </c>
      <c r="DR56" s="12">
        <f t="shared" si="161"/>
        <v>0</v>
      </c>
      <c r="DS56" s="12">
        <f t="shared" si="161"/>
        <v>0</v>
      </c>
      <c r="DT56" s="12">
        <f t="shared" si="161"/>
        <v>0</v>
      </c>
      <c r="DU56" s="12">
        <f t="shared" si="161"/>
        <v>0</v>
      </c>
      <c r="DV56" s="12">
        <f t="shared" si="161"/>
        <v>0</v>
      </c>
      <c r="DW56" s="12">
        <f t="shared" si="161"/>
        <v>0</v>
      </c>
      <c r="DX56" s="12">
        <f t="shared" si="161"/>
        <v>0</v>
      </c>
      <c r="DY56" s="12">
        <f t="shared" si="161"/>
        <v>0</v>
      </c>
      <c r="DZ56" s="12">
        <f t="shared" si="161"/>
        <v>0</v>
      </c>
      <c r="EA56" s="12">
        <f t="shared" si="161"/>
        <v>0</v>
      </c>
      <c r="EB56" s="12">
        <f t="shared" si="161"/>
        <v>0</v>
      </c>
      <c r="EC56" s="12">
        <f t="shared" si="161"/>
        <v>0</v>
      </c>
      <c r="ED56" s="12">
        <f t="shared" si="161"/>
        <v>0</v>
      </c>
      <c r="EE56" s="12">
        <f t="shared" si="161"/>
        <v>0</v>
      </c>
      <c r="EF56" s="12">
        <f t="shared" si="161"/>
        <v>0</v>
      </c>
      <c r="EG56" s="12">
        <f t="shared" si="161"/>
        <v>0</v>
      </c>
      <c r="EH56" s="12">
        <f t="shared" si="161"/>
        <v>0</v>
      </c>
      <c r="EI56" s="12">
        <f t="shared" si="161"/>
        <v>0</v>
      </c>
      <c r="EJ56" s="12">
        <f t="shared" si="161"/>
        <v>0</v>
      </c>
    </row>
    <row r="57" spans="1:345" x14ac:dyDescent="0.35">
      <c r="A57" s="132"/>
      <c r="B57" s="27"/>
      <c r="C57" s="27"/>
      <c r="D57" s="27"/>
      <c r="E57" s="27"/>
      <c r="F57" s="27"/>
      <c r="G57" s="27"/>
      <c r="H57" s="27"/>
      <c r="I57" s="34"/>
      <c r="J57" s="34"/>
      <c r="K57" s="27"/>
      <c r="L57" s="27"/>
      <c r="M57" s="27"/>
      <c r="N57" s="27"/>
      <c r="O57" s="27"/>
      <c r="P57" s="27"/>
      <c r="Q57" s="27"/>
      <c r="R57" s="132"/>
      <c r="T57" t="s">
        <v>453</v>
      </c>
      <c r="V57" s="12">
        <f>IF(I55&gt;0, I55, I54)</f>
        <v>0</v>
      </c>
      <c r="W57" s="25" t="s">
        <v>300</v>
      </c>
      <c r="X57" s="25">
        <f>IF(H55&gt;0, H55, H54)</f>
        <v>0</v>
      </c>
      <c r="AA57" s="12" t="s">
        <v>282</v>
      </c>
      <c r="AB57" s="12"/>
      <c r="AC57" s="12"/>
      <c r="AD57" s="12"/>
      <c r="AE57">
        <f>IF(J55&lt;&gt;0, 0, $J54*$V$12)</f>
        <v>0</v>
      </c>
      <c r="AK57" s="21"/>
      <c r="AL57" s="12"/>
      <c r="AM57" t="s">
        <v>303</v>
      </c>
      <c r="AN57" s="22" t="e">
        <f>IRR(AN56:EJ56)</f>
        <v>#VALUE!</v>
      </c>
      <c r="AO57" t="e">
        <f t="array" ref="AO57">SUM(IF(AN56:EI56*AO56:EJ56&lt;0,1,0))</f>
        <v>#DIV/0!</v>
      </c>
    </row>
    <row r="58" spans="1:345" x14ac:dyDescent="0.35">
      <c r="A58" s="132"/>
      <c r="B58" s="27"/>
      <c r="C58" s="27"/>
      <c r="D58" s="27"/>
      <c r="E58" s="27"/>
      <c r="F58" s="27"/>
      <c r="G58" s="27"/>
      <c r="H58" s="27"/>
      <c r="I58" s="34"/>
      <c r="J58" s="27"/>
      <c r="K58" s="27"/>
      <c r="L58" s="27"/>
      <c r="M58" s="27"/>
      <c r="N58" s="27"/>
      <c r="O58" s="27"/>
      <c r="P58" s="27"/>
      <c r="Q58" s="27"/>
      <c r="R58" s="132"/>
      <c r="T58" t="s">
        <v>454</v>
      </c>
      <c r="V58">
        <f>IF(J55&gt;0, J55, J54)</f>
        <v>0</v>
      </c>
      <c r="W58" s="25" t="s">
        <v>302</v>
      </c>
      <c r="X58" s="25">
        <f>IF(O55&gt;0, O55, O54)</f>
        <v>0</v>
      </c>
      <c r="AM58" t="s">
        <v>466</v>
      </c>
      <c r="AN58" s="12" t="e">
        <f>SUM(AN56:EJ56)</f>
        <v>#DIV/0!</v>
      </c>
    </row>
    <row r="59" spans="1:345" x14ac:dyDescent="0.35">
      <c r="A59" s="132"/>
      <c r="B59" s="27"/>
      <c r="C59" s="27"/>
      <c r="D59" s="27"/>
      <c r="E59" s="27"/>
      <c r="F59" s="27"/>
      <c r="G59" s="27"/>
      <c r="H59" s="27"/>
      <c r="I59" s="27"/>
      <c r="J59" s="27"/>
      <c r="K59" s="27"/>
      <c r="L59" s="27"/>
      <c r="M59" s="27"/>
      <c r="N59" s="27"/>
      <c r="O59" s="27"/>
      <c r="P59" s="27"/>
      <c r="Q59" s="27"/>
      <c r="R59" s="132"/>
      <c r="U59" s="12"/>
      <c r="V59" s="12"/>
      <c r="W59" s="12"/>
      <c r="X59" s="12"/>
      <c r="AG59" s="12"/>
      <c r="AH59" s="12"/>
      <c r="AI59" s="12"/>
      <c r="AJ59" s="12"/>
      <c r="AK59" s="12"/>
      <c r="AL59" s="12"/>
      <c r="AM59" s="12" t="s">
        <v>467</v>
      </c>
      <c r="AN59" t="str">
        <f>IFERROR(IF(OR(AN58&lt;0, AO57&gt;1, AO57=0), "NA - see note", "NO"),"NA - see note")</f>
        <v>NA - see note</v>
      </c>
    </row>
    <row r="60" spans="1:345" x14ac:dyDescent="0.35">
      <c r="A60" s="132"/>
      <c r="B60" s="27"/>
      <c r="C60" s="27"/>
      <c r="D60" s="27"/>
      <c r="E60" s="27"/>
      <c r="F60" s="27"/>
      <c r="G60" s="27"/>
      <c r="H60" s="27"/>
      <c r="I60" s="27"/>
      <c r="J60" s="27"/>
      <c r="K60" s="27"/>
      <c r="L60" s="27"/>
      <c r="M60" s="27"/>
      <c r="N60" s="27"/>
      <c r="O60" s="27"/>
      <c r="P60" s="27"/>
      <c r="Q60" s="27"/>
      <c r="R60" s="132"/>
    </row>
    <row r="61" spans="1:345" x14ac:dyDescent="0.35">
      <c r="A61" s="132"/>
      <c r="B61" s="27"/>
      <c r="C61" s="28" t="s">
        <v>28</v>
      </c>
      <c r="E61" s="169"/>
      <c r="F61" s="169"/>
      <c r="G61" s="169"/>
      <c r="H61" s="27"/>
      <c r="I61" s="56" t="s">
        <v>438</v>
      </c>
      <c r="J61" s="102" t="s">
        <v>440</v>
      </c>
      <c r="K61" s="27"/>
      <c r="L61" s="27"/>
      <c r="M61" s="27"/>
      <c r="N61" s="27"/>
      <c r="O61" s="27"/>
      <c r="P61" s="27"/>
      <c r="Q61" s="27"/>
      <c r="R61" s="132"/>
      <c r="AA61" t="s">
        <v>269</v>
      </c>
      <c r="AE61" t="e">
        <f>SUMIF(T64:T77, "Yes", X64:X77)/SUM(X64:X77)</f>
        <v>#DIV/0!</v>
      </c>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row>
    <row r="62" spans="1:345" x14ac:dyDescent="0.35">
      <c r="A62" s="132"/>
      <c r="B62" s="27"/>
      <c r="C62" s="27"/>
      <c r="D62" s="27"/>
      <c r="E62" s="27"/>
      <c r="F62" s="27"/>
      <c r="G62" s="27"/>
      <c r="H62" s="27"/>
      <c r="I62" s="35"/>
      <c r="J62" s="35"/>
      <c r="K62" s="27"/>
      <c r="L62" s="27"/>
      <c r="M62" s="27"/>
      <c r="N62" s="27"/>
      <c r="O62" s="27"/>
      <c r="P62" s="27"/>
      <c r="Q62" s="27"/>
      <c r="R62" s="132"/>
      <c r="AA62" t="s">
        <v>469</v>
      </c>
      <c r="AE62" s="74" t="e">
        <f>SUMPRODUCT(H64:H77, U64:U77)/SUM(H64:H77)</f>
        <v>#DIV/0!</v>
      </c>
    </row>
    <row r="63" spans="1:345" ht="30" customHeight="1" x14ac:dyDescent="0.35">
      <c r="A63" s="132"/>
      <c r="B63" s="27"/>
      <c r="C63" s="168" t="s">
        <v>36</v>
      </c>
      <c r="D63" s="168"/>
      <c r="E63" s="133" t="s">
        <v>461</v>
      </c>
      <c r="F63" s="133" t="s">
        <v>462</v>
      </c>
      <c r="G63" s="133" t="s">
        <v>1</v>
      </c>
      <c r="H63" s="133" t="s">
        <v>405</v>
      </c>
      <c r="I63" s="133" t="s">
        <v>455</v>
      </c>
      <c r="J63" s="133" t="s">
        <v>456</v>
      </c>
      <c r="K63" s="133" t="s">
        <v>2</v>
      </c>
      <c r="L63" s="133" t="s">
        <v>404</v>
      </c>
      <c r="M63" s="133" t="s">
        <v>0</v>
      </c>
      <c r="N63" s="133" t="s">
        <v>24</v>
      </c>
      <c r="O63" s="133" t="s">
        <v>31</v>
      </c>
      <c r="P63" s="72" t="s">
        <v>22</v>
      </c>
      <c r="Q63" s="27"/>
      <c r="R63" s="132"/>
      <c r="T63" s="18" t="s">
        <v>249</v>
      </c>
      <c r="U63" s="18" t="s">
        <v>254</v>
      </c>
      <c r="V63" s="18" t="s">
        <v>261</v>
      </c>
      <c r="W63" s="18" t="s">
        <v>241</v>
      </c>
      <c r="X63" s="18" t="s">
        <v>240</v>
      </c>
      <c r="Y63" s="18" t="s">
        <v>264</v>
      </c>
      <c r="Z63" s="18" t="s">
        <v>265</v>
      </c>
      <c r="AA63" s="18" t="s">
        <v>388</v>
      </c>
      <c r="AB63" s="18" t="s">
        <v>389</v>
      </c>
      <c r="AC63" s="18" t="s">
        <v>390</v>
      </c>
      <c r="AD63" s="18" t="s">
        <v>465</v>
      </c>
      <c r="AE63" s="18" t="s">
        <v>262</v>
      </c>
      <c r="AF63" s="18" t="s">
        <v>266</v>
      </c>
      <c r="AG63" s="18" t="s">
        <v>267</v>
      </c>
      <c r="AH63" s="18" t="s">
        <v>263</v>
      </c>
      <c r="AI63" s="18" t="s">
        <v>277</v>
      </c>
      <c r="AJ63" s="18" t="s">
        <v>278</v>
      </c>
      <c r="AK63" s="18" t="s">
        <v>279</v>
      </c>
      <c r="AL63" s="18" t="s">
        <v>253</v>
      </c>
      <c r="AM63" s="18" t="s">
        <v>251</v>
      </c>
      <c r="AN63" s="18">
        <v>0</v>
      </c>
      <c r="AO63" s="18">
        <v>1</v>
      </c>
      <c r="AP63" s="18">
        <v>2</v>
      </c>
      <c r="AQ63" s="18">
        <v>3</v>
      </c>
      <c r="AR63" s="18">
        <v>4</v>
      </c>
      <c r="AS63" s="18">
        <v>5</v>
      </c>
      <c r="AT63" s="18">
        <v>6</v>
      </c>
      <c r="AU63" s="18">
        <v>7</v>
      </c>
      <c r="AV63" s="18">
        <v>8</v>
      </c>
      <c r="AW63" s="18">
        <v>9</v>
      </c>
      <c r="AX63" s="18">
        <v>10</v>
      </c>
      <c r="AY63" s="18">
        <v>11</v>
      </c>
      <c r="AZ63" s="18">
        <v>12</v>
      </c>
      <c r="BA63" s="18">
        <v>13</v>
      </c>
      <c r="BB63" s="18">
        <v>14</v>
      </c>
      <c r="BC63" s="18">
        <v>15</v>
      </c>
      <c r="BD63" s="18">
        <v>16</v>
      </c>
      <c r="BE63" s="18">
        <v>17</v>
      </c>
      <c r="BF63" s="18">
        <v>18</v>
      </c>
      <c r="BG63" s="18">
        <v>19</v>
      </c>
      <c r="BH63" s="18">
        <v>20</v>
      </c>
      <c r="BI63" s="18">
        <v>21</v>
      </c>
      <c r="BJ63" s="18">
        <v>22</v>
      </c>
      <c r="BK63" s="18">
        <v>23</v>
      </c>
      <c r="BL63" s="18">
        <v>24</v>
      </c>
      <c r="BM63" s="18">
        <v>25</v>
      </c>
      <c r="BN63" s="18">
        <v>26</v>
      </c>
      <c r="BO63" s="18">
        <v>27</v>
      </c>
      <c r="BP63" s="18">
        <v>28</v>
      </c>
      <c r="BQ63" s="18">
        <v>29</v>
      </c>
      <c r="BR63" s="18">
        <v>30</v>
      </c>
      <c r="BS63" s="18">
        <v>31</v>
      </c>
      <c r="BT63" s="18">
        <v>32</v>
      </c>
      <c r="BU63" s="18">
        <v>33</v>
      </c>
      <c r="BV63" s="18">
        <v>34</v>
      </c>
      <c r="BW63" s="18">
        <v>35</v>
      </c>
      <c r="BX63" s="18">
        <v>36</v>
      </c>
      <c r="BY63" s="18">
        <v>37</v>
      </c>
      <c r="BZ63" s="18">
        <v>38</v>
      </c>
      <c r="CA63" s="18">
        <v>39</v>
      </c>
      <c r="CB63" s="18">
        <v>40</v>
      </c>
      <c r="CC63" s="18">
        <v>41</v>
      </c>
      <c r="CD63" s="18">
        <v>42</v>
      </c>
      <c r="CE63" s="18">
        <v>43</v>
      </c>
      <c r="CF63" s="18">
        <v>44</v>
      </c>
      <c r="CG63" s="18">
        <v>45</v>
      </c>
      <c r="CH63" s="18">
        <v>46</v>
      </c>
      <c r="CI63" s="18">
        <v>47</v>
      </c>
      <c r="CJ63" s="18">
        <v>48</v>
      </c>
      <c r="CK63" s="18">
        <v>49</v>
      </c>
      <c r="CL63" s="18">
        <v>50</v>
      </c>
      <c r="CM63" s="18">
        <v>51</v>
      </c>
      <c r="CN63" s="18">
        <v>52</v>
      </c>
      <c r="CO63" s="18">
        <v>53</v>
      </c>
      <c r="CP63" s="18">
        <v>54</v>
      </c>
      <c r="CQ63" s="18">
        <v>55</v>
      </c>
      <c r="CR63" s="18">
        <v>56</v>
      </c>
      <c r="CS63" s="18">
        <v>57</v>
      </c>
      <c r="CT63" s="18">
        <v>58</v>
      </c>
      <c r="CU63" s="18">
        <v>59</v>
      </c>
      <c r="CV63" s="18">
        <v>60</v>
      </c>
      <c r="CW63" s="18">
        <v>61</v>
      </c>
      <c r="CX63" s="18">
        <v>62</v>
      </c>
      <c r="CY63" s="18">
        <v>63</v>
      </c>
      <c r="CZ63" s="18">
        <v>64</v>
      </c>
      <c r="DA63" s="18">
        <v>65</v>
      </c>
      <c r="DB63" s="18">
        <v>66</v>
      </c>
      <c r="DC63" s="18">
        <v>67</v>
      </c>
      <c r="DD63" s="18">
        <v>68</v>
      </c>
      <c r="DE63" s="18">
        <v>69</v>
      </c>
      <c r="DF63" s="18">
        <v>70</v>
      </c>
      <c r="DG63" s="18">
        <v>71</v>
      </c>
      <c r="DH63" s="18">
        <v>72</v>
      </c>
      <c r="DI63" s="18">
        <v>73</v>
      </c>
      <c r="DJ63" s="18">
        <v>74</v>
      </c>
      <c r="DK63" s="18">
        <v>75</v>
      </c>
      <c r="DL63" s="18">
        <v>76</v>
      </c>
      <c r="DM63" s="18">
        <v>77</v>
      </c>
      <c r="DN63" s="18">
        <v>78</v>
      </c>
      <c r="DO63" s="18">
        <v>79</v>
      </c>
      <c r="DP63" s="18">
        <v>80</v>
      </c>
      <c r="DQ63" s="18">
        <v>81</v>
      </c>
      <c r="DR63" s="18">
        <v>82</v>
      </c>
      <c r="DS63" s="18">
        <v>83</v>
      </c>
      <c r="DT63" s="18">
        <v>84</v>
      </c>
      <c r="DU63" s="18">
        <v>85</v>
      </c>
      <c r="DV63" s="18">
        <v>86</v>
      </c>
      <c r="DW63" s="18">
        <v>87</v>
      </c>
      <c r="DX63" s="18">
        <v>88</v>
      </c>
      <c r="DY63" s="18">
        <v>89</v>
      </c>
      <c r="DZ63" s="18">
        <v>90</v>
      </c>
      <c r="EA63" s="18">
        <v>91</v>
      </c>
      <c r="EB63" s="18">
        <v>92</v>
      </c>
      <c r="EC63" s="18">
        <v>93</v>
      </c>
      <c r="ED63" s="18">
        <v>94</v>
      </c>
      <c r="EE63" s="18">
        <v>95</v>
      </c>
      <c r="EF63" s="18">
        <v>96</v>
      </c>
      <c r="EG63" s="18">
        <v>97</v>
      </c>
      <c r="EH63" s="18">
        <v>98</v>
      </c>
      <c r="EI63" s="18">
        <v>99</v>
      </c>
      <c r="EJ63" s="18">
        <v>100</v>
      </c>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row>
    <row r="64" spans="1:345" x14ac:dyDescent="0.35">
      <c r="A64" s="132"/>
      <c r="B64" s="27"/>
      <c r="C64" s="170"/>
      <c r="D64" s="170"/>
      <c r="E64" s="103"/>
      <c r="F64" s="104"/>
      <c r="G64" s="36" t="str">
        <f>IFERROR(VLOOKUP(E64, 'General Project Info'!$C$30:$I$40, 7, FALSE), "")</f>
        <v/>
      </c>
      <c r="H64" s="41">
        <f>IFERROR(X64*VLOOKUP(E64, 'General Project Info'!$R$30:$T$40, 3, FALSE), 0)</f>
        <v>0</v>
      </c>
      <c r="I64" s="42">
        <f>IFERROR(IF($T64="Yes", $X64*VLOOKUP($E64, 'General Project Info'!$R$30:$W$40, 5, FALSE), 0), 0)</f>
        <v>0</v>
      </c>
      <c r="J64" s="42">
        <f>IFERROR(IF($T64="No", $X64*VLOOKUP($E64, 'General Project Info'!$R$30:$W$40, 5, FALSE), 0), 0)</f>
        <v>0</v>
      </c>
      <c r="K64" s="106"/>
      <c r="L64" s="106"/>
      <c r="M64" s="107"/>
      <c r="N64" s="107"/>
      <c r="O64" s="107"/>
      <c r="P64" s="43">
        <f>IFERROR(IF(K64=AC64, 0, (AC64/K64*M64)*$Z$11^IF(AB64&lt;=0,0,AA64)), 0)</f>
        <v>0</v>
      </c>
      <c r="Q64" s="27"/>
      <c r="R64" s="132"/>
      <c r="T64" s="18" t="e">
        <f>VLOOKUP($E64, 'Unit Conversions Array'!$B$4:$Z$23, 25, FALSE)</f>
        <v>#N/A</v>
      </c>
      <c r="U64" s="18">
        <f>VLOOKUP(E64, 'General Project Info'!$R$30:$W$40, 6, FALSE)</f>
        <v>1</v>
      </c>
      <c r="V64" s="18">
        <f>IF(U64=$Z$12, H64*$X$10, (H64/($Z$12-U64))*(1-(U64/$Z$12)^$X$10))</f>
        <v>0</v>
      </c>
      <c r="W64" s="18">
        <f>IFERROR(F64*INDEX('Unit Conversions Array'!$E$4:$Y$23, MATCH('Scenarios &amp; Measures'!E64, 'Unit Conversions Array'!$B$4:$B$23, 0), MATCH('Scenarios &amp; Measures'!G64, 'Unit Conversions Array'!$E$3:$Y$3, 0)), 0)</f>
        <v>0</v>
      </c>
      <c r="X64" s="19">
        <f>W64/3.412</f>
        <v>0</v>
      </c>
      <c r="Y64" s="19">
        <f>I64</f>
        <v>0</v>
      </c>
      <c r="Z64" s="19">
        <f>J64</f>
        <v>0</v>
      </c>
      <c r="AA64" s="17">
        <f>IFERROR(ROUNDDOWN(($X$10-(K64-AD64))/K64, 0)*K64+(K64-AD64), 0)</f>
        <v>0</v>
      </c>
      <c r="AB64" s="17">
        <f>$X$10-AA64</f>
        <v>20</v>
      </c>
      <c r="AC64" s="17">
        <f>IF(AB64&lt;0, ABS(AB64), K64-AB64)</f>
        <v>-20</v>
      </c>
      <c r="AD64" s="17">
        <f>IF(L64&lt;=K64, L64, 0)</f>
        <v>0</v>
      </c>
      <c r="AE64" s="18">
        <f>IF($Z$11=$Z$12, O64*$X$10, (O64/($Z$12-$Z$11))*(1-($Z$11/$Z$12)^$X$10))*$Z$12</f>
        <v>0</v>
      </c>
      <c r="AF64" s="19">
        <f t="shared" ref="AF64:AF77" si="162">SUMPRODUCT($AN$11:$EJ$11,$AN$12:$EJ$12)*Y64/1000</f>
        <v>0</v>
      </c>
      <c r="AG64" s="12">
        <f t="shared" ref="AG64:AG77" si="163">SUMPRODUCT($AN$11:$EJ$11,$AN$12:$EJ$12)*Z64/1000</f>
        <v>0</v>
      </c>
      <c r="AH64" s="17">
        <f>IFERROR(SUMPRODUCT($AN$12:$EJ$12, AN64:EJ64), 0)</f>
        <v>0</v>
      </c>
      <c r="AI64" s="23">
        <f>IF($V$10="RECs", -Y64/VLOOKUP("RECs", 'General Project Info'!$R$30:$W$40, 5, FALSE)*$V$11*IF($X$11=$Z$12, $X$10, (1/($Z$12-$X$11))*(1-($X$11/$Z$12)^$X$10)*$Z$12), 0)</f>
        <v>0</v>
      </c>
      <c r="AJ64" s="17">
        <f>IF($V$10="Carbon Offset", IF($X$12=$Z$12,Y64*$V$12*$X$10, (Y64*$V$12)/($Z$12-$X$12)*(1-($X$12/$Z$12)^$X$10)*$Z$12), 0)</f>
        <v>0</v>
      </c>
      <c r="AK64" s="17">
        <f>IF($X$12=$Z$12,Z64*$V$12*$X$10, (Z64*$V$12)/($Z$12-$X$12)*(1-($X$12/$Z$12)^$X$10)*$Z$12)</f>
        <v>0</v>
      </c>
      <c r="AL64" s="17">
        <f>V64+AG64+AH64+AE64+AF64+AI64+AJ64+AK64-P64</f>
        <v>0</v>
      </c>
      <c r="AM64" s="20" t="s">
        <v>290</v>
      </c>
      <c r="AN64" s="12">
        <f>IFERROR(IF(AN$38&gt;=$X$10, 0, IF(MOD($AD64+AN$38, $K64)=0, (($M64-$N64)*$Z$11^AN$38), 0)), 0)</f>
        <v>0</v>
      </c>
      <c r="AO64" s="12">
        <f t="shared" ref="AO64:CZ65" si="164">IFERROR(IF(AO$38&gt;=$X$10, 0, IF(MOD($AD64+AO$38, $K64)=0, (($M64-$N64)*$Z$11^AO$38), 0)), 0)</f>
        <v>0</v>
      </c>
      <c r="AP64" s="12">
        <f t="shared" si="164"/>
        <v>0</v>
      </c>
      <c r="AQ64" s="12">
        <f t="shared" si="164"/>
        <v>0</v>
      </c>
      <c r="AR64" s="12">
        <f t="shared" si="164"/>
        <v>0</v>
      </c>
      <c r="AS64" s="12">
        <f t="shared" si="164"/>
        <v>0</v>
      </c>
      <c r="AT64" s="12">
        <f t="shared" si="164"/>
        <v>0</v>
      </c>
      <c r="AU64" s="12">
        <f t="shared" si="164"/>
        <v>0</v>
      </c>
      <c r="AV64" s="12">
        <f t="shared" si="164"/>
        <v>0</v>
      </c>
      <c r="AW64" s="12">
        <f t="shared" si="164"/>
        <v>0</v>
      </c>
      <c r="AX64" s="12">
        <f t="shared" si="164"/>
        <v>0</v>
      </c>
      <c r="AY64" s="12">
        <f t="shared" si="164"/>
        <v>0</v>
      </c>
      <c r="AZ64" s="12">
        <f t="shared" si="164"/>
        <v>0</v>
      </c>
      <c r="BA64" s="12">
        <f t="shared" si="164"/>
        <v>0</v>
      </c>
      <c r="BB64" s="12">
        <f t="shared" si="164"/>
        <v>0</v>
      </c>
      <c r="BC64" s="12">
        <f t="shared" si="164"/>
        <v>0</v>
      </c>
      <c r="BD64" s="12">
        <f t="shared" si="164"/>
        <v>0</v>
      </c>
      <c r="BE64" s="12">
        <f t="shared" si="164"/>
        <v>0</v>
      </c>
      <c r="BF64" s="12">
        <f t="shared" si="164"/>
        <v>0</v>
      </c>
      <c r="BG64" s="12">
        <f t="shared" si="164"/>
        <v>0</v>
      </c>
      <c r="BH64" s="12">
        <f t="shared" si="164"/>
        <v>0</v>
      </c>
      <c r="BI64" s="12">
        <f t="shared" si="164"/>
        <v>0</v>
      </c>
      <c r="BJ64" s="12">
        <f t="shared" si="164"/>
        <v>0</v>
      </c>
      <c r="BK64" s="12">
        <f t="shared" si="164"/>
        <v>0</v>
      </c>
      <c r="BL64" s="12">
        <f t="shared" si="164"/>
        <v>0</v>
      </c>
      <c r="BM64" s="12">
        <f t="shared" si="164"/>
        <v>0</v>
      </c>
      <c r="BN64" s="12">
        <f t="shared" si="164"/>
        <v>0</v>
      </c>
      <c r="BO64" s="12">
        <f t="shared" si="164"/>
        <v>0</v>
      </c>
      <c r="BP64" s="12">
        <f t="shared" si="164"/>
        <v>0</v>
      </c>
      <c r="BQ64" s="12">
        <f t="shared" si="164"/>
        <v>0</v>
      </c>
      <c r="BR64" s="12">
        <f t="shared" si="164"/>
        <v>0</v>
      </c>
      <c r="BS64" s="12">
        <f t="shared" si="164"/>
        <v>0</v>
      </c>
      <c r="BT64" s="12">
        <f t="shared" si="164"/>
        <v>0</v>
      </c>
      <c r="BU64" s="12">
        <f t="shared" si="164"/>
        <v>0</v>
      </c>
      <c r="BV64" s="12">
        <f t="shared" si="164"/>
        <v>0</v>
      </c>
      <c r="BW64" s="12">
        <f t="shared" si="164"/>
        <v>0</v>
      </c>
      <c r="BX64" s="12">
        <f t="shared" si="164"/>
        <v>0</v>
      </c>
      <c r="BY64" s="12">
        <f t="shared" si="164"/>
        <v>0</v>
      </c>
      <c r="BZ64" s="12">
        <f t="shared" si="164"/>
        <v>0</v>
      </c>
      <c r="CA64" s="12">
        <f t="shared" si="164"/>
        <v>0</v>
      </c>
      <c r="CB64" s="12">
        <f t="shared" si="164"/>
        <v>0</v>
      </c>
      <c r="CC64" s="12">
        <f t="shared" si="164"/>
        <v>0</v>
      </c>
      <c r="CD64" s="12">
        <f t="shared" si="164"/>
        <v>0</v>
      </c>
      <c r="CE64" s="12">
        <f t="shared" si="164"/>
        <v>0</v>
      </c>
      <c r="CF64" s="12">
        <f t="shared" si="164"/>
        <v>0</v>
      </c>
      <c r="CG64" s="12">
        <f t="shared" si="164"/>
        <v>0</v>
      </c>
      <c r="CH64" s="12">
        <f t="shared" si="164"/>
        <v>0</v>
      </c>
      <c r="CI64" s="12">
        <f t="shared" si="164"/>
        <v>0</v>
      </c>
      <c r="CJ64" s="12">
        <f t="shared" si="164"/>
        <v>0</v>
      </c>
      <c r="CK64" s="12">
        <f t="shared" si="164"/>
        <v>0</v>
      </c>
      <c r="CL64" s="12">
        <f t="shared" si="164"/>
        <v>0</v>
      </c>
      <c r="CM64" s="12">
        <f t="shared" si="164"/>
        <v>0</v>
      </c>
      <c r="CN64" s="12">
        <f t="shared" si="164"/>
        <v>0</v>
      </c>
      <c r="CO64" s="12">
        <f t="shared" si="164"/>
        <v>0</v>
      </c>
      <c r="CP64" s="12">
        <f t="shared" si="164"/>
        <v>0</v>
      </c>
      <c r="CQ64" s="12">
        <f t="shared" si="164"/>
        <v>0</v>
      </c>
      <c r="CR64" s="12">
        <f t="shared" si="164"/>
        <v>0</v>
      </c>
      <c r="CS64" s="12">
        <f t="shared" si="164"/>
        <v>0</v>
      </c>
      <c r="CT64" s="12">
        <f t="shared" si="164"/>
        <v>0</v>
      </c>
      <c r="CU64" s="12">
        <f t="shared" si="164"/>
        <v>0</v>
      </c>
      <c r="CV64" s="12">
        <f t="shared" si="164"/>
        <v>0</v>
      </c>
      <c r="CW64" s="12">
        <f t="shared" si="164"/>
        <v>0</v>
      </c>
      <c r="CX64" s="12">
        <f t="shared" si="164"/>
        <v>0</v>
      </c>
      <c r="CY64" s="12">
        <f t="shared" si="164"/>
        <v>0</v>
      </c>
      <c r="CZ64" s="12">
        <f t="shared" si="164"/>
        <v>0</v>
      </c>
      <c r="DA64" s="12">
        <f t="shared" ref="DA64:EJ68" si="165">IFERROR(IF(DA$38&gt;=$X$10, 0, IF(MOD($AD64+DA$38, $K64)=0, (($M64-$N64)*$Z$11^DA$38), 0)), 0)</f>
        <v>0</v>
      </c>
      <c r="DB64" s="12">
        <f t="shared" si="165"/>
        <v>0</v>
      </c>
      <c r="DC64" s="12">
        <f t="shared" si="165"/>
        <v>0</v>
      </c>
      <c r="DD64" s="12">
        <f t="shared" si="165"/>
        <v>0</v>
      </c>
      <c r="DE64" s="12">
        <f t="shared" si="165"/>
        <v>0</v>
      </c>
      <c r="DF64" s="12">
        <f t="shared" si="165"/>
        <v>0</v>
      </c>
      <c r="DG64" s="12">
        <f t="shared" si="165"/>
        <v>0</v>
      </c>
      <c r="DH64" s="12">
        <f t="shared" si="165"/>
        <v>0</v>
      </c>
      <c r="DI64" s="12">
        <f t="shared" si="165"/>
        <v>0</v>
      </c>
      <c r="DJ64" s="12">
        <f t="shared" si="165"/>
        <v>0</v>
      </c>
      <c r="DK64" s="12">
        <f t="shared" si="165"/>
        <v>0</v>
      </c>
      <c r="DL64" s="12">
        <f t="shared" si="165"/>
        <v>0</v>
      </c>
      <c r="DM64" s="12">
        <f t="shared" si="165"/>
        <v>0</v>
      </c>
      <c r="DN64" s="12">
        <f t="shared" si="165"/>
        <v>0</v>
      </c>
      <c r="DO64" s="12">
        <f t="shared" si="165"/>
        <v>0</v>
      </c>
      <c r="DP64" s="12">
        <f t="shared" si="165"/>
        <v>0</v>
      </c>
      <c r="DQ64" s="12">
        <f t="shared" si="165"/>
        <v>0</v>
      </c>
      <c r="DR64" s="12">
        <f t="shared" si="165"/>
        <v>0</v>
      </c>
      <c r="DS64" s="12">
        <f t="shared" si="165"/>
        <v>0</v>
      </c>
      <c r="DT64" s="12">
        <f t="shared" si="165"/>
        <v>0</v>
      </c>
      <c r="DU64" s="12">
        <f t="shared" si="165"/>
        <v>0</v>
      </c>
      <c r="DV64" s="12">
        <f t="shared" si="165"/>
        <v>0</v>
      </c>
      <c r="DW64" s="12">
        <f t="shared" si="165"/>
        <v>0</v>
      </c>
      <c r="DX64" s="12">
        <f t="shared" si="165"/>
        <v>0</v>
      </c>
      <c r="DY64" s="12">
        <f t="shared" si="165"/>
        <v>0</v>
      </c>
      <c r="DZ64" s="12">
        <f t="shared" si="165"/>
        <v>0</v>
      </c>
      <c r="EA64" s="12">
        <f t="shared" si="165"/>
        <v>0</v>
      </c>
      <c r="EB64" s="12">
        <f t="shared" si="165"/>
        <v>0</v>
      </c>
      <c r="EC64" s="12">
        <f t="shared" si="165"/>
        <v>0</v>
      </c>
      <c r="ED64" s="12">
        <f t="shared" si="165"/>
        <v>0</v>
      </c>
      <c r="EE64" s="12">
        <f t="shared" si="165"/>
        <v>0</v>
      </c>
      <c r="EF64" s="12">
        <f t="shared" si="165"/>
        <v>0</v>
      </c>
      <c r="EG64" s="12">
        <f t="shared" si="165"/>
        <v>0</v>
      </c>
      <c r="EH64" s="12">
        <f t="shared" si="165"/>
        <v>0</v>
      </c>
      <c r="EI64" s="12">
        <f t="shared" si="165"/>
        <v>0</v>
      </c>
      <c r="EJ64" s="12">
        <f t="shared" si="165"/>
        <v>0</v>
      </c>
      <c r="EK64" s="20"/>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6"/>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row>
    <row r="65" spans="1:345" x14ac:dyDescent="0.35">
      <c r="A65" s="132"/>
      <c r="B65" s="27"/>
      <c r="C65" s="170"/>
      <c r="D65" s="170"/>
      <c r="E65" s="103"/>
      <c r="F65" s="105"/>
      <c r="G65" s="36" t="str">
        <f>IFERROR(VLOOKUP(E65, 'General Project Info'!$C$30:$I$40, 7, FALSE), "")</f>
        <v/>
      </c>
      <c r="H65" s="41">
        <f>IFERROR(X65*VLOOKUP(E65, 'General Project Info'!$R$30:$T$40, 3, FALSE), 0)</f>
        <v>0</v>
      </c>
      <c r="I65" s="42">
        <f>IFERROR(IF($T65="Yes", $X65*VLOOKUP($E65, 'General Project Info'!$R$30:$W$40, 5, FALSE), 0), 0)</f>
        <v>0</v>
      </c>
      <c r="J65" s="42">
        <f>IFERROR(IF($T65="No", $X65*VLOOKUP($E65, 'General Project Info'!$R$30:$W$40, 5, FALSE), 0), 0)</f>
        <v>0</v>
      </c>
      <c r="K65" s="108"/>
      <c r="L65" s="108"/>
      <c r="M65" s="109"/>
      <c r="N65" s="109"/>
      <c r="O65" s="109"/>
      <c r="P65" s="43">
        <f t="shared" ref="P65:P77" si="166">IFERROR(IF(K65=AC65, 0, (AC65/K65*M65)*$Z$11^IF(AB65&lt;=0,0,AA65)), 0)</f>
        <v>0</v>
      </c>
      <c r="Q65" s="27"/>
      <c r="R65" s="132"/>
      <c r="T65" s="18" t="e">
        <f>VLOOKUP($E65, 'Unit Conversions Array'!$B$4:$Z$23, 25, FALSE)</f>
        <v>#N/A</v>
      </c>
      <c r="U65">
        <f>VLOOKUP(E65, 'General Project Info'!$R$30:$W$40, 6, FALSE)</f>
        <v>1</v>
      </c>
      <c r="V65" s="18">
        <f t="shared" ref="V65:V77" si="167">IF(U65=$Z$12, H65*$X$10, (H65/($Z$12-U65))*(1-(U65/$Z$12)^$X$10))</f>
        <v>0</v>
      </c>
      <c r="W65" s="18">
        <f>IFERROR(F65*INDEX('Unit Conversions Array'!$E$4:$Y$23, MATCH('Scenarios &amp; Measures'!E65, 'Unit Conversions Array'!$B$4:$B$23, 0), MATCH('Scenarios &amp; Measures'!G65, 'Unit Conversions Array'!$E$3:$Y$3, 0)), 0)</f>
        <v>0</v>
      </c>
      <c r="X65" s="19">
        <f t="shared" ref="X65:X77" si="168">W65/3.412</f>
        <v>0</v>
      </c>
      <c r="Y65" s="19">
        <f t="shared" ref="Y65:Y77" si="169">I65</f>
        <v>0</v>
      </c>
      <c r="Z65" s="19">
        <f t="shared" ref="Z65:Z77" si="170">J65</f>
        <v>0</v>
      </c>
      <c r="AA65" s="17">
        <f>IFERROR(ROUNDDOWN(($X$10-(K65-AD65))/K65, 0)*K65+(K65-AD65), 0)</f>
        <v>0</v>
      </c>
      <c r="AB65" s="17">
        <f t="shared" ref="AB65:AB77" si="171">$X$10-AA65</f>
        <v>20</v>
      </c>
      <c r="AC65" s="17">
        <f t="shared" ref="AC65:AC77" si="172">IF(AB65&lt;0, ABS(AB65), K65-AB65)</f>
        <v>-20</v>
      </c>
      <c r="AD65" s="17">
        <f t="shared" ref="AD65:AD77" si="173">IF(L65&lt;=K65, L65, 0)</f>
        <v>0</v>
      </c>
      <c r="AE65" s="18">
        <f t="shared" ref="AE65:AE77" si="174">IF($Z$11=$Z$12, O65*$X$10, (O65/($Z$12-$Z$11))*(1-($Z$11/$Z$12)^$X$10))*$Z$12</f>
        <v>0</v>
      </c>
      <c r="AF65" s="19">
        <f t="shared" si="162"/>
        <v>0</v>
      </c>
      <c r="AG65" s="12">
        <f t="shared" si="163"/>
        <v>0</v>
      </c>
      <c r="AH65" s="17">
        <f t="shared" ref="AH65:AH77" si="175">IFERROR(SUMPRODUCT($AN$12:$EJ$12, AN65:EJ65), 0)</f>
        <v>0</v>
      </c>
      <c r="AI65" s="23">
        <f>IF($V$10="RECs", -Y65/VLOOKUP("RECs", 'General Project Info'!$R$30:$W$40, 5, FALSE)*$V$11*IF($X$11=$Z$12, $X$10, (1/($Z$12-$X$11))*(1-($X$11/$Z$12)^$X$10)*$Z$12), 0)</f>
        <v>0</v>
      </c>
      <c r="AJ65" s="17">
        <f t="shared" ref="AJ65:AJ77" si="176">IF($V$10="Carbon Offset", IF($X$12=$Z$12,Y65*$V$12*$X$10, (Y65*$V$12)/($Z$12-$X$12)*(1-($X$12/$Z$12)^$X$10)*$Z$12), 0)</f>
        <v>0</v>
      </c>
      <c r="AK65" s="17">
        <f t="shared" ref="AK65:AK77" si="177">IF($X$12=$Z$12,Z65*$V$12*$X$10, (Z65*$V$12)/($Z$12-$X$12)*(1-($X$12/$Z$12)^$X$10)*$Z$12)</f>
        <v>0</v>
      </c>
      <c r="AL65" s="17">
        <f t="shared" ref="AL65:AL77" si="178">V65+AG65+AH65+AE65+AF65+AI65+AJ65+AK65-P65</f>
        <v>0</v>
      </c>
      <c r="AM65" s="16"/>
      <c r="AN65" s="12">
        <f t="shared" ref="AN65:BC77" si="179">IFERROR(IF(AN$38&gt;=$X$10, 0, IF(MOD($AD65+AN$38, $K65)=0, (($M65-$N65)*$Z$11^AN$38), 0)), 0)</f>
        <v>0</v>
      </c>
      <c r="AO65" s="12">
        <f t="shared" si="179"/>
        <v>0</v>
      </c>
      <c r="AP65" s="12">
        <f t="shared" si="179"/>
        <v>0</v>
      </c>
      <c r="AQ65" s="12">
        <f t="shared" si="179"/>
        <v>0</v>
      </c>
      <c r="AR65" s="12">
        <f t="shared" si="179"/>
        <v>0</v>
      </c>
      <c r="AS65" s="12">
        <f t="shared" si="179"/>
        <v>0</v>
      </c>
      <c r="AT65" s="12">
        <f t="shared" si="179"/>
        <v>0</v>
      </c>
      <c r="AU65" s="12">
        <f t="shared" si="179"/>
        <v>0</v>
      </c>
      <c r="AV65" s="12">
        <f t="shared" si="179"/>
        <v>0</v>
      </c>
      <c r="AW65" s="12">
        <f t="shared" si="179"/>
        <v>0</v>
      </c>
      <c r="AX65" s="12">
        <f t="shared" si="179"/>
        <v>0</v>
      </c>
      <c r="AY65" s="12">
        <f t="shared" si="179"/>
        <v>0</v>
      </c>
      <c r="AZ65" s="12">
        <f t="shared" si="179"/>
        <v>0</v>
      </c>
      <c r="BA65" s="12">
        <f t="shared" si="179"/>
        <v>0</v>
      </c>
      <c r="BB65" s="12">
        <f t="shared" si="179"/>
        <v>0</v>
      </c>
      <c r="BC65" s="12">
        <f t="shared" si="179"/>
        <v>0</v>
      </c>
      <c r="BD65" s="12">
        <f t="shared" si="164"/>
        <v>0</v>
      </c>
      <c r="BE65" s="12">
        <f t="shared" si="164"/>
        <v>0</v>
      </c>
      <c r="BF65" s="12">
        <f t="shared" si="164"/>
        <v>0</v>
      </c>
      <c r="BG65" s="12">
        <f t="shared" si="164"/>
        <v>0</v>
      </c>
      <c r="BH65" s="12">
        <f t="shared" si="164"/>
        <v>0</v>
      </c>
      <c r="BI65" s="12">
        <f t="shared" si="164"/>
        <v>0</v>
      </c>
      <c r="BJ65" s="12">
        <f t="shared" si="164"/>
        <v>0</v>
      </c>
      <c r="BK65" s="12">
        <f t="shared" si="164"/>
        <v>0</v>
      </c>
      <c r="BL65" s="12">
        <f t="shared" si="164"/>
        <v>0</v>
      </c>
      <c r="BM65" s="12">
        <f t="shared" si="164"/>
        <v>0</v>
      </c>
      <c r="BN65" s="12">
        <f t="shared" si="164"/>
        <v>0</v>
      </c>
      <c r="BO65" s="12">
        <f t="shared" si="164"/>
        <v>0</v>
      </c>
      <c r="BP65" s="12">
        <f t="shared" si="164"/>
        <v>0</v>
      </c>
      <c r="BQ65" s="12">
        <f t="shared" si="164"/>
        <v>0</v>
      </c>
      <c r="BR65" s="12">
        <f t="shared" si="164"/>
        <v>0</v>
      </c>
      <c r="BS65" s="12">
        <f t="shared" si="164"/>
        <v>0</v>
      </c>
      <c r="BT65" s="12">
        <f t="shared" si="164"/>
        <v>0</v>
      </c>
      <c r="BU65" s="12">
        <f t="shared" si="164"/>
        <v>0</v>
      </c>
      <c r="BV65" s="12">
        <f t="shared" si="164"/>
        <v>0</v>
      </c>
      <c r="BW65" s="12">
        <f t="shared" si="164"/>
        <v>0</v>
      </c>
      <c r="BX65" s="12">
        <f t="shared" si="164"/>
        <v>0</v>
      </c>
      <c r="BY65" s="12">
        <f t="shared" si="164"/>
        <v>0</v>
      </c>
      <c r="BZ65" s="12">
        <f t="shared" si="164"/>
        <v>0</v>
      </c>
      <c r="CA65" s="12">
        <f t="shared" si="164"/>
        <v>0</v>
      </c>
      <c r="CB65" s="12">
        <f t="shared" si="164"/>
        <v>0</v>
      </c>
      <c r="CC65" s="12">
        <f t="shared" si="164"/>
        <v>0</v>
      </c>
      <c r="CD65" s="12">
        <f t="shared" si="164"/>
        <v>0</v>
      </c>
      <c r="CE65" s="12">
        <f t="shared" si="164"/>
        <v>0</v>
      </c>
      <c r="CF65" s="12">
        <f t="shared" si="164"/>
        <v>0</v>
      </c>
      <c r="CG65" s="12">
        <f t="shared" si="164"/>
        <v>0</v>
      </c>
      <c r="CH65" s="12">
        <f t="shared" si="164"/>
        <v>0</v>
      </c>
      <c r="CI65" s="12">
        <f t="shared" si="164"/>
        <v>0</v>
      </c>
      <c r="CJ65" s="12">
        <f t="shared" si="164"/>
        <v>0</v>
      </c>
      <c r="CK65" s="12">
        <f t="shared" si="164"/>
        <v>0</v>
      </c>
      <c r="CL65" s="12">
        <f t="shared" si="164"/>
        <v>0</v>
      </c>
      <c r="CM65" s="12">
        <f t="shared" si="164"/>
        <v>0</v>
      </c>
      <c r="CN65" s="12">
        <f t="shared" si="164"/>
        <v>0</v>
      </c>
      <c r="CO65" s="12">
        <f t="shared" si="164"/>
        <v>0</v>
      </c>
      <c r="CP65" s="12">
        <f t="shared" si="164"/>
        <v>0</v>
      </c>
      <c r="CQ65" s="12">
        <f t="shared" si="164"/>
        <v>0</v>
      </c>
      <c r="CR65" s="12">
        <f t="shared" si="164"/>
        <v>0</v>
      </c>
      <c r="CS65" s="12">
        <f t="shared" si="164"/>
        <v>0</v>
      </c>
      <c r="CT65" s="12">
        <f t="shared" si="164"/>
        <v>0</v>
      </c>
      <c r="CU65" s="12">
        <f t="shared" si="164"/>
        <v>0</v>
      </c>
      <c r="CV65" s="12">
        <f t="shared" si="164"/>
        <v>0</v>
      </c>
      <c r="CW65" s="12">
        <f t="shared" si="164"/>
        <v>0</v>
      </c>
      <c r="CX65" s="12">
        <f t="shared" si="164"/>
        <v>0</v>
      </c>
      <c r="CY65" s="12">
        <f t="shared" si="164"/>
        <v>0</v>
      </c>
      <c r="CZ65" s="12">
        <f t="shared" si="164"/>
        <v>0</v>
      </c>
      <c r="DA65" s="12">
        <f t="shared" si="165"/>
        <v>0</v>
      </c>
      <c r="DB65" s="12">
        <f t="shared" si="165"/>
        <v>0</v>
      </c>
      <c r="DC65" s="12">
        <f t="shared" si="165"/>
        <v>0</v>
      </c>
      <c r="DD65" s="12">
        <f t="shared" si="165"/>
        <v>0</v>
      </c>
      <c r="DE65" s="12">
        <f t="shared" si="165"/>
        <v>0</v>
      </c>
      <c r="DF65" s="12">
        <f t="shared" si="165"/>
        <v>0</v>
      </c>
      <c r="DG65" s="12">
        <f t="shared" si="165"/>
        <v>0</v>
      </c>
      <c r="DH65" s="12">
        <f t="shared" si="165"/>
        <v>0</v>
      </c>
      <c r="DI65" s="12">
        <f t="shared" si="165"/>
        <v>0</v>
      </c>
      <c r="DJ65" s="12">
        <f t="shared" si="165"/>
        <v>0</v>
      </c>
      <c r="DK65" s="12">
        <f t="shared" si="165"/>
        <v>0</v>
      </c>
      <c r="DL65" s="12">
        <f t="shared" si="165"/>
        <v>0</v>
      </c>
      <c r="DM65" s="12">
        <f t="shared" si="165"/>
        <v>0</v>
      </c>
      <c r="DN65" s="12">
        <f t="shared" si="165"/>
        <v>0</v>
      </c>
      <c r="DO65" s="12">
        <f t="shared" si="165"/>
        <v>0</v>
      </c>
      <c r="DP65" s="12">
        <f t="shared" si="165"/>
        <v>0</v>
      </c>
      <c r="DQ65" s="12">
        <f t="shared" si="165"/>
        <v>0</v>
      </c>
      <c r="DR65" s="12">
        <f t="shared" si="165"/>
        <v>0</v>
      </c>
      <c r="DS65" s="12">
        <f t="shared" si="165"/>
        <v>0</v>
      </c>
      <c r="DT65" s="12">
        <f t="shared" si="165"/>
        <v>0</v>
      </c>
      <c r="DU65" s="12">
        <f t="shared" si="165"/>
        <v>0</v>
      </c>
      <c r="DV65" s="12">
        <f t="shared" si="165"/>
        <v>0</v>
      </c>
      <c r="DW65" s="12">
        <f t="shared" si="165"/>
        <v>0</v>
      </c>
      <c r="DX65" s="12">
        <f t="shared" si="165"/>
        <v>0</v>
      </c>
      <c r="DY65" s="12">
        <f t="shared" si="165"/>
        <v>0</v>
      </c>
      <c r="DZ65" s="12">
        <f t="shared" si="165"/>
        <v>0</v>
      </c>
      <c r="EA65" s="12">
        <f t="shared" si="165"/>
        <v>0</v>
      </c>
      <c r="EB65" s="12">
        <f t="shared" si="165"/>
        <v>0</v>
      </c>
      <c r="EC65" s="12">
        <f t="shared" si="165"/>
        <v>0</v>
      </c>
      <c r="ED65" s="12">
        <f t="shared" si="165"/>
        <v>0</v>
      </c>
      <c r="EE65" s="12">
        <f t="shared" si="165"/>
        <v>0</v>
      </c>
      <c r="EF65" s="12">
        <f t="shared" si="165"/>
        <v>0</v>
      </c>
      <c r="EG65" s="12">
        <f t="shared" si="165"/>
        <v>0</v>
      </c>
      <c r="EH65" s="12">
        <f t="shared" si="165"/>
        <v>0</v>
      </c>
      <c r="EI65" s="12">
        <f t="shared" si="165"/>
        <v>0</v>
      </c>
      <c r="EJ65" s="12">
        <f t="shared" si="165"/>
        <v>0</v>
      </c>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row>
    <row r="66" spans="1:345" x14ac:dyDescent="0.35">
      <c r="A66" s="132"/>
      <c r="B66" s="27"/>
      <c r="C66" s="170"/>
      <c r="D66" s="170"/>
      <c r="E66" s="103"/>
      <c r="F66" s="105"/>
      <c r="G66" s="36" t="str">
        <f>IFERROR(VLOOKUP(E66, 'General Project Info'!$C$30:$I$40, 7, FALSE), "")</f>
        <v/>
      </c>
      <c r="H66" s="41">
        <f>IFERROR(X66*VLOOKUP(E66, 'General Project Info'!$R$30:$T$40, 3, FALSE), 0)</f>
        <v>0</v>
      </c>
      <c r="I66" s="42">
        <f>IFERROR(IF($T66="Yes", $X66*VLOOKUP($E66, 'General Project Info'!$R$30:$W$40, 5, FALSE), 0), 0)</f>
        <v>0</v>
      </c>
      <c r="J66" s="42">
        <f>IFERROR(IF($T66="No", $X66*VLOOKUP($E66, 'General Project Info'!$R$30:$W$40, 5, FALSE), 0), 0)</f>
        <v>0</v>
      </c>
      <c r="K66" s="108"/>
      <c r="L66" s="108"/>
      <c r="M66" s="109"/>
      <c r="N66" s="109"/>
      <c r="O66" s="109"/>
      <c r="P66" s="43">
        <f t="shared" si="166"/>
        <v>0</v>
      </c>
      <c r="Q66" s="27"/>
      <c r="R66" s="132"/>
      <c r="T66" s="18" t="e">
        <f>VLOOKUP($E66, 'Unit Conversions Array'!$B$4:$Z$23, 25, FALSE)</f>
        <v>#N/A</v>
      </c>
      <c r="U66">
        <f>VLOOKUP(E66, 'General Project Info'!$R$30:$W$40, 6, FALSE)</f>
        <v>1</v>
      </c>
      <c r="V66" s="18">
        <f t="shared" si="167"/>
        <v>0</v>
      </c>
      <c r="W66" s="18">
        <f>IFERROR(F66*INDEX('Unit Conversions Array'!$E$4:$Y$23, MATCH('Scenarios &amp; Measures'!E66, 'Unit Conversions Array'!$B$4:$B$23, 0), MATCH('Scenarios &amp; Measures'!G66, 'Unit Conversions Array'!$E$3:$Y$3, 0)), 0)</f>
        <v>0</v>
      </c>
      <c r="X66" s="19">
        <f t="shared" si="168"/>
        <v>0</v>
      </c>
      <c r="Y66" s="19">
        <f t="shared" si="169"/>
        <v>0</v>
      </c>
      <c r="Z66" s="19">
        <f t="shared" si="170"/>
        <v>0</v>
      </c>
      <c r="AA66" s="17">
        <f>IFERROR(ROUNDDOWN(($X$10-(K66-AD66))/K66, 0)*K66+(K66-AD66), 0)</f>
        <v>0</v>
      </c>
      <c r="AB66" s="17">
        <f t="shared" si="171"/>
        <v>20</v>
      </c>
      <c r="AC66" s="17">
        <f t="shared" si="172"/>
        <v>-20</v>
      </c>
      <c r="AD66" s="17">
        <f t="shared" si="173"/>
        <v>0</v>
      </c>
      <c r="AE66" s="18">
        <f t="shared" si="174"/>
        <v>0</v>
      </c>
      <c r="AF66" s="19">
        <f t="shared" si="162"/>
        <v>0</v>
      </c>
      <c r="AG66" s="12">
        <f t="shared" si="163"/>
        <v>0</v>
      </c>
      <c r="AH66" s="17">
        <f t="shared" si="175"/>
        <v>0</v>
      </c>
      <c r="AI66" s="23">
        <f>IF($V$10="RECs", -Y66/VLOOKUP("RECs", 'General Project Info'!$R$30:$W$40, 5, FALSE)*$V$11*IF($X$11=$Z$12, $X$10, (1/($Z$12-$X$11))*(1-($X$11/$Z$12)^$X$10)*$Z$12), 0)</f>
        <v>0</v>
      </c>
      <c r="AJ66" s="17">
        <f t="shared" si="176"/>
        <v>0</v>
      </c>
      <c r="AK66" s="17">
        <f t="shared" si="177"/>
        <v>0</v>
      </c>
      <c r="AL66" s="17">
        <f t="shared" si="178"/>
        <v>0</v>
      </c>
      <c r="AN66" s="12">
        <f t="shared" si="179"/>
        <v>0</v>
      </c>
      <c r="AO66" s="12">
        <f t="shared" ref="AO66:CZ69" si="180">IFERROR(IF(AO$38&gt;=$X$10, 0, IF(MOD($AD66+AO$38, $K66)=0, (($M66-$N66)*$Z$11^AO$38), 0)), 0)</f>
        <v>0</v>
      </c>
      <c r="AP66" s="12">
        <f t="shared" si="180"/>
        <v>0</v>
      </c>
      <c r="AQ66" s="12">
        <f t="shared" si="180"/>
        <v>0</v>
      </c>
      <c r="AR66" s="12">
        <f t="shared" si="180"/>
        <v>0</v>
      </c>
      <c r="AS66" s="12">
        <f t="shared" si="180"/>
        <v>0</v>
      </c>
      <c r="AT66" s="12">
        <f t="shared" si="180"/>
        <v>0</v>
      </c>
      <c r="AU66" s="12">
        <f t="shared" si="180"/>
        <v>0</v>
      </c>
      <c r="AV66" s="12">
        <f t="shared" si="180"/>
        <v>0</v>
      </c>
      <c r="AW66" s="12">
        <f t="shared" si="180"/>
        <v>0</v>
      </c>
      <c r="AX66" s="12">
        <f t="shared" si="180"/>
        <v>0</v>
      </c>
      <c r="AY66" s="12">
        <f t="shared" si="180"/>
        <v>0</v>
      </c>
      <c r="AZ66" s="12">
        <f t="shared" si="180"/>
        <v>0</v>
      </c>
      <c r="BA66" s="12">
        <f t="shared" si="180"/>
        <v>0</v>
      </c>
      <c r="BB66" s="12">
        <f t="shared" si="180"/>
        <v>0</v>
      </c>
      <c r="BC66" s="12">
        <f t="shared" si="180"/>
        <v>0</v>
      </c>
      <c r="BD66" s="12">
        <f t="shared" si="180"/>
        <v>0</v>
      </c>
      <c r="BE66" s="12">
        <f t="shared" si="180"/>
        <v>0</v>
      </c>
      <c r="BF66" s="12">
        <f t="shared" si="180"/>
        <v>0</v>
      </c>
      <c r="BG66" s="12">
        <f t="shared" si="180"/>
        <v>0</v>
      </c>
      <c r="BH66" s="12">
        <f t="shared" si="180"/>
        <v>0</v>
      </c>
      <c r="BI66" s="12">
        <f t="shared" si="180"/>
        <v>0</v>
      </c>
      <c r="BJ66" s="12">
        <f t="shared" si="180"/>
        <v>0</v>
      </c>
      <c r="BK66" s="12">
        <f t="shared" si="180"/>
        <v>0</v>
      </c>
      <c r="BL66" s="12">
        <f t="shared" si="180"/>
        <v>0</v>
      </c>
      <c r="BM66" s="12">
        <f t="shared" si="180"/>
        <v>0</v>
      </c>
      <c r="BN66" s="12">
        <f t="shared" si="180"/>
        <v>0</v>
      </c>
      <c r="BO66" s="12">
        <f t="shared" si="180"/>
        <v>0</v>
      </c>
      <c r="BP66" s="12">
        <f t="shared" si="180"/>
        <v>0</v>
      </c>
      <c r="BQ66" s="12">
        <f t="shared" si="180"/>
        <v>0</v>
      </c>
      <c r="BR66" s="12">
        <f t="shared" si="180"/>
        <v>0</v>
      </c>
      <c r="BS66" s="12">
        <f t="shared" si="180"/>
        <v>0</v>
      </c>
      <c r="BT66" s="12">
        <f t="shared" si="180"/>
        <v>0</v>
      </c>
      <c r="BU66" s="12">
        <f t="shared" si="180"/>
        <v>0</v>
      </c>
      <c r="BV66" s="12">
        <f t="shared" si="180"/>
        <v>0</v>
      </c>
      <c r="BW66" s="12">
        <f t="shared" si="180"/>
        <v>0</v>
      </c>
      <c r="BX66" s="12">
        <f t="shared" si="180"/>
        <v>0</v>
      </c>
      <c r="BY66" s="12">
        <f t="shared" si="180"/>
        <v>0</v>
      </c>
      <c r="BZ66" s="12">
        <f t="shared" si="180"/>
        <v>0</v>
      </c>
      <c r="CA66" s="12">
        <f t="shared" si="180"/>
        <v>0</v>
      </c>
      <c r="CB66" s="12">
        <f t="shared" si="180"/>
        <v>0</v>
      </c>
      <c r="CC66" s="12">
        <f t="shared" si="180"/>
        <v>0</v>
      </c>
      <c r="CD66" s="12">
        <f t="shared" si="180"/>
        <v>0</v>
      </c>
      <c r="CE66" s="12">
        <f t="shared" si="180"/>
        <v>0</v>
      </c>
      <c r="CF66" s="12">
        <f t="shared" si="180"/>
        <v>0</v>
      </c>
      <c r="CG66" s="12">
        <f t="shared" si="180"/>
        <v>0</v>
      </c>
      <c r="CH66" s="12">
        <f t="shared" si="180"/>
        <v>0</v>
      </c>
      <c r="CI66" s="12">
        <f t="shared" si="180"/>
        <v>0</v>
      </c>
      <c r="CJ66" s="12">
        <f t="shared" si="180"/>
        <v>0</v>
      </c>
      <c r="CK66" s="12">
        <f t="shared" si="180"/>
        <v>0</v>
      </c>
      <c r="CL66" s="12">
        <f t="shared" si="180"/>
        <v>0</v>
      </c>
      <c r="CM66" s="12">
        <f t="shared" si="180"/>
        <v>0</v>
      </c>
      <c r="CN66" s="12">
        <f t="shared" si="180"/>
        <v>0</v>
      </c>
      <c r="CO66" s="12">
        <f t="shared" si="180"/>
        <v>0</v>
      </c>
      <c r="CP66" s="12">
        <f t="shared" si="180"/>
        <v>0</v>
      </c>
      <c r="CQ66" s="12">
        <f t="shared" si="180"/>
        <v>0</v>
      </c>
      <c r="CR66" s="12">
        <f t="shared" si="180"/>
        <v>0</v>
      </c>
      <c r="CS66" s="12">
        <f t="shared" si="180"/>
        <v>0</v>
      </c>
      <c r="CT66" s="12">
        <f t="shared" si="180"/>
        <v>0</v>
      </c>
      <c r="CU66" s="12">
        <f t="shared" si="180"/>
        <v>0</v>
      </c>
      <c r="CV66" s="12">
        <f t="shared" si="180"/>
        <v>0</v>
      </c>
      <c r="CW66" s="12">
        <f t="shared" si="180"/>
        <v>0</v>
      </c>
      <c r="CX66" s="12">
        <f t="shared" si="180"/>
        <v>0</v>
      </c>
      <c r="CY66" s="12">
        <f t="shared" si="180"/>
        <v>0</v>
      </c>
      <c r="CZ66" s="12">
        <f t="shared" si="180"/>
        <v>0</v>
      </c>
      <c r="DA66" s="12">
        <f t="shared" si="165"/>
        <v>0</v>
      </c>
      <c r="DB66" s="12">
        <f t="shared" si="165"/>
        <v>0</v>
      </c>
      <c r="DC66" s="12">
        <f t="shared" si="165"/>
        <v>0</v>
      </c>
      <c r="DD66" s="12">
        <f t="shared" si="165"/>
        <v>0</v>
      </c>
      <c r="DE66" s="12">
        <f t="shared" si="165"/>
        <v>0</v>
      </c>
      <c r="DF66" s="12">
        <f t="shared" si="165"/>
        <v>0</v>
      </c>
      <c r="DG66" s="12">
        <f t="shared" si="165"/>
        <v>0</v>
      </c>
      <c r="DH66" s="12">
        <f t="shared" si="165"/>
        <v>0</v>
      </c>
      <c r="DI66" s="12">
        <f t="shared" si="165"/>
        <v>0</v>
      </c>
      <c r="DJ66" s="12">
        <f t="shared" si="165"/>
        <v>0</v>
      </c>
      <c r="DK66" s="12">
        <f t="shared" si="165"/>
        <v>0</v>
      </c>
      <c r="DL66" s="12">
        <f t="shared" si="165"/>
        <v>0</v>
      </c>
      <c r="DM66" s="12">
        <f t="shared" si="165"/>
        <v>0</v>
      </c>
      <c r="DN66" s="12">
        <f t="shared" si="165"/>
        <v>0</v>
      </c>
      <c r="DO66" s="12">
        <f t="shared" si="165"/>
        <v>0</v>
      </c>
      <c r="DP66" s="12">
        <f t="shared" si="165"/>
        <v>0</v>
      </c>
      <c r="DQ66" s="12">
        <f t="shared" si="165"/>
        <v>0</v>
      </c>
      <c r="DR66" s="12">
        <f t="shared" si="165"/>
        <v>0</v>
      </c>
      <c r="DS66" s="12">
        <f t="shared" si="165"/>
        <v>0</v>
      </c>
      <c r="DT66" s="12">
        <f t="shared" si="165"/>
        <v>0</v>
      </c>
      <c r="DU66" s="12">
        <f t="shared" si="165"/>
        <v>0</v>
      </c>
      <c r="DV66" s="12">
        <f t="shared" si="165"/>
        <v>0</v>
      </c>
      <c r="DW66" s="12">
        <f t="shared" si="165"/>
        <v>0</v>
      </c>
      <c r="DX66" s="12">
        <f t="shared" si="165"/>
        <v>0</v>
      </c>
      <c r="DY66" s="12">
        <f t="shared" si="165"/>
        <v>0</v>
      </c>
      <c r="DZ66" s="12">
        <f t="shared" si="165"/>
        <v>0</v>
      </c>
      <c r="EA66" s="12">
        <f t="shared" si="165"/>
        <v>0</v>
      </c>
      <c r="EB66" s="12">
        <f t="shared" si="165"/>
        <v>0</v>
      </c>
      <c r="EC66" s="12">
        <f t="shared" si="165"/>
        <v>0</v>
      </c>
      <c r="ED66" s="12">
        <f t="shared" si="165"/>
        <v>0</v>
      </c>
      <c r="EE66" s="12">
        <f t="shared" si="165"/>
        <v>0</v>
      </c>
      <c r="EF66" s="12">
        <f t="shared" si="165"/>
        <v>0</v>
      </c>
      <c r="EG66" s="12">
        <f t="shared" si="165"/>
        <v>0</v>
      </c>
      <c r="EH66" s="12">
        <f t="shared" si="165"/>
        <v>0</v>
      </c>
      <c r="EI66" s="12">
        <f t="shared" si="165"/>
        <v>0</v>
      </c>
      <c r="EJ66" s="12">
        <f t="shared" si="165"/>
        <v>0</v>
      </c>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row>
    <row r="67" spans="1:345" x14ac:dyDescent="0.35">
      <c r="A67" s="132"/>
      <c r="B67" s="27"/>
      <c r="C67" s="170"/>
      <c r="D67" s="170"/>
      <c r="E67" s="103"/>
      <c r="F67" s="105"/>
      <c r="G67" s="36" t="str">
        <f>IFERROR(VLOOKUP(E67, 'General Project Info'!$C$30:$I$40, 7, FALSE), "")</f>
        <v/>
      </c>
      <c r="H67" s="41">
        <f>IFERROR(X67*VLOOKUP(E67, 'General Project Info'!$R$30:$T$40, 3, FALSE), 0)</f>
        <v>0</v>
      </c>
      <c r="I67" s="42">
        <f>IFERROR(IF($T67="Yes", $X67*VLOOKUP($E67, 'General Project Info'!$R$30:$W$40, 5, FALSE), 0), 0)</f>
        <v>0</v>
      </c>
      <c r="J67" s="42">
        <f>IFERROR(IF($T67="No", $X67*VLOOKUP($E67, 'General Project Info'!$R$30:$W$40, 5, FALSE), 0), 0)</f>
        <v>0</v>
      </c>
      <c r="K67" s="108"/>
      <c r="L67" s="108"/>
      <c r="M67" s="109"/>
      <c r="N67" s="109"/>
      <c r="O67" s="109"/>
      <c r="P67" s="43">
        <f t="shared" si="166"/>
        <v>0</v>
      </c>
      <c r="Q67" s="27"/>
      <c r="R67" s="132"/>
      <c r="T67" s="18" t="e">
        <f>VLOOKUP($E67, 'Unit Conversions Array'!$B$4:$Z$23, 25, FALSE)</f>
        <v>#N/A</v>
      </c>
      <c r="U67">
        <f>VLOOKUP(E67, 'General Project Info'!$R$30:$W$40, 6, FALSE)</f>
        <v>1</v>
      </c>
      <c r="V67" s="18">
        <f t="shared" si="167"/>
        <v>0</v>
      </c>
      <c r="W67" s="18">
        <f>IFERROR(F67*INDEX('Unit Conversions Array'!$E$4:$Y$23, MATCH('Scenarios &amp; Measures'!E67, 'Unit Conversions Array'!$B$4:$B$23, 0), MATCH('Scenarios &amp; Measures'!G67, 'Unit Conversions Array'!$E$3:$Y$3, 0)), 0)</f>
        <v>0</v>
      </c>
      <c r="X67" s="19">
        <f t="shared" si="168"/>
        <v>0</v>
      </c>
      <c r="Y67" s="19">
        <f t="shared" si="169"/>
        <v>0</v>
      </c>
      <c r="Z67" s="19">
        <f t="shared" si="170"/>
        <v>0</v>
      </c>
      <c r="AA67" s="17">
        <f t="shared" ref="AA67:AA77" si="181">IFERROR(ROUNDDOWN(($X$10-(K67-L67))/K67, 0)*K67+(K67-L67), 0)</f>
        <v>0</v>
      </c>
      <c r="AB67" s="17">
        <f t="shared" si="171"/>
        <v>20</v>
      </c>
      <c r="AC67" s="17">
        <f t="shared" si="172"/>
        <v>-20</v>
      </c>
      <c r="AD67" s="17">
        <f t="shared" si="173"/>
        <v>0</v>
      </c>
      <c r="AE67" s="18">
        <f t="shared" si="174"/>
        <v>0</v>
      </c>
      <c r="AF67" s="19">
        <f t="shared" si="162"/>
        <v>0</v>
      </c>
      <c r="AG67" s="12">
        <f t="shared" si="163"/>
        <v>0</v>
      </c>
      <c r="AH67" s="17">
        <f t="shared" si="175"/>
        <v>0</v>
      </c>
      <c r="AI67" s="23">
        <f>IF($V$10="RECs", -Y67/VLOOKUP("RECs", 'General Project Info'!$R$30:$W$40, 5, FALSE)*$V$11*IF($X$11=$Z$12, $X$10, (1/($Z$12-$X$11))*(1-($X$11/$Z$12)^$X$10)*$Z$12), 0)</f>
        <v>0</v>
      </c>
      <c r="AJ67" s="17">
        <f t="shared" si="176"/>
        <v>0</v>
      </c>
      <c r="AK67" s="17">
        <f t="shared" si="177"/>
        <v>0</v>
      </c>
      <c r="AL67" s="17">
        <f t="shared" si="178"/>
        <v>0</v>
      </c>
      <c r="AN67" s="12">
        <f t="shared" si="179"/>
        <v>0</v>
      </c>
      <c r="AO67" s="12">
        <f t="shared" si="180"/>
        <v>0</v>
      </c>
      <c r="AP67" s="12">
        <f t="shared" si="180"/>
        <v>0</v>
      </c>
      <c r="AQ67" s="12">
        <f t="shared" si="180"/>
        <v>0</v>
      </c>
      <c r="AR67" s="12">
        <f t="shared" si="180"/>
        <v>0</v>
      </c>
      <c r="AS67" s="12">
        <f t="shared" si="180"/>
        <v>0</v>
      </c>
      <c r="AT67" s="12">
        <f t="shared" si="180"/>
        <v>0</v>
      </c>
      <c r="AU67" s="12">
        <f t="shared" si="180"/>
        <v>0</v>
      </c>
      <c r="AV67" s="12">
        <f t="shared" si="180"/>
        <v>0</v>
      </c>
      <c r="AW67" s="12">
        <f t="shared" si="180"/>
        <v>0</v>
      </c>
      <c r="AX67" s="12">
        <f t="shared" si="180"/>
        <v>0</v>
      </c>
      <c r="AY67" s="12">
        <f t="shared" si="180"/>
        <v>0</v>
      </c>
      <c r="AZ67" s="12">
        <f t="shared" si="180"/>
        <v>0</v>
      </c>
      <c r="BA67" s="12">
        <f t="shared" si="180"/>
        <v>0</v>
      </c>
      <c r="BB67" s="12">
        <f t="shared" si="180"/>
        <v>0</v>
      </c>
      <c r="BC67" s="12">
        <f t="shared" si="180"/>
        <v>0</v>
      </c>
      <c r="BD67" s="12">
        <f t="shared" si="180"/>
        <v>0</v>
      </c>
      <c r="BE67" s="12">
        <f t="shared" si="180"/>
        <v>0</v>
      </c>
      <c r="BF67" s="12">
        <f t="shared" si="180"/>
        <v>0</v>
      </c>
      <c r="BG67" s="12">
        <f t="shared" si="180"/>
        <v>0</v>
      </c>
      <c r="BH67" s="12">
        <f t="shared" si="180"/>
        <v>0</v>
      </c>
      <c r="BI67" s="12">
        <f t="shared" si="180"/>
        <v>0</v>
      </c>
      <c r="BJ67" s="12">
        <f t="shared" si="180"/>
        <v>0</v>
      </c>
      <c r="BK67" s="12">
        <f t="shared" si="180"/>
        <v>0</v>
      </c>
      <c r="BL67" s="12">
        <f t="shared" si="180"/>
        <v>0</v>
      </c>
      <c r="BM67" s="12">
        <f t="shared" si="180"/>
        <v>0</v>
      </c>
      <c r="BN67" s="12">
        <f t="shared" si="180"/>
        <v>0</v>
      </c>
      <c r="BO67" s="12">
        <f t="shared" si="180"/>
        <v>0</v>
      </c>
      <c r="BP67" s="12">
        <f t="shared" si="180"/>
        <v>0</v>
      </c>
      <c r="BQ67" s="12">
        <f t="shared" si="180"/>
        <v>0</v>
      </c>
      <c r="BR67" s="12">
        <f t="shared" si="180"/>
        <v>0</v>
      </c>
      <c r="BS67" s="12">
        <f t="shared" si="180"/>
        <v>0</v>
      </c>
      <c r="BT67" s="12">
        <f t="shared" si="180"/>
        <v>0</v>
      </c>
      <c r="BU67" s="12">
        <f t="shared" si="180"/>
        <v>0</v>
      </c>
      <c r="BV67" s="12">
        <f t="shared" si="180"/>
        <v>0</v>
      </c>
      <c r="BW67" s="12">
        <f t="shared" si="180"/>
        <v>0</v>
      </c>
      <c r="BX67" s="12">
        <f t="shared" si="180"/>
        <v>0</v>
      </c>
      <c r="BY67" s="12">
        <f t="shared" si="180"/>
        <v>0</v>
      </c>
      <c r="BZ67" s="12">
        <f t="shared" si="180"/>
        <v>0</v>
      </c>
      <c r="CA67" s="12">
        <f t="shared" si="180"/>
        <v>0</v>
      </c>
      <c r="CB67" s="12">
        <f t="shared" si="180"/>
        <v>0</v>
      </c>
      <c r="CC67" s="12">
        <f t="shared" si="180"/>
        <v>0</v>
      </c>
      <c r="CD67" s="12">
        <f t="shared" si="180"/>
        <v>0</v>
      </c>
      <c r="CE67" s="12">
        <f t="shared" si="180"/>
        <v>0</v>
      </c>
      <c r="CF67" s="12">
        <f t="shared" si="180"/>
        <v>0</v>
      </c>
      <c r="CG67" s="12">
        <f t="shared" si="180"/>
        <v>0</v>
      </c>
      <c r="CH67" s="12">
        <f t="shared" si="180"/>
        <v>0</v>
      </c>
      <c r="CI67" s="12">
        <f t="shared" si="180"/>
        <v>0</v>
      </c>
      <c r="CJ67" s="12">
        <f t="shared" si="180"/>
        <v>0</v>
      </c>
      <c r="CK67" s="12">
        <f t="shared" si="180"/>
        <v>0</v>
      </c>
      <c r="CL67" s="12">
        <f t="shared" si="180"/>
        <v>0</v>
      </c>
      <c r="CM67" s="12">
        <f t="shared" si="180"/>
        <v>0</v>
      </c>
      <c r="CN67" s="12">
        <f t="shared" si="180"/>
        <v>0</v>
      </c>
      <c r="CO67" s="12">
        <f t="shared" si="180"/>
        <v>0</v>
      </c>
      <c r="CP67" s="12">
        <f t="shared" si="180"/>
        <v>0</v>
      </c>
      <c r="CQ67" s="12">
        <f t="shared" si="180"/>
        <v>0</v>
      </c>
      <c r="CR67" s="12">
        <f t="shared" si="180"/>
        <v>0</v>
      </c>
      <c r="CS67" s="12">
        <f t="shared" si="180"/>
        <v>0</v>
      </c>
      <c r="CT67" s="12">
        <f t="shared" si="180"/>
        <v>0</v>
      </c>
      <c r="CU67" s="12">
        <f t="shared" si="180"/>
        <v>0</v>
      </c>
      <c r="CV67" s="12">
        <f t="shared" si="180"/>
        <v>0</v>
      </c>
      <c r="CW67" s="12">
        <f t="shared" si="180"/>
        <v>0</v>
      </c>
      <c r="CX67" s="12">
        <f t="shared" si="180"/>
        <v>0</v>
      </c>
      <c r="CY67" s="12">
        <f t="shared" si="180"/>
        <v>0</v>
      </c>
      <c r="CZ67" s="12">
        <f t="shared" si="180"/>
        <v>0</v>
      </c>
      <c r="DA67" s="12">
        <f t="shared" si="165"/>
        <v>0</v>
      </c>
      <c r="DB67" s="12">
        <f t="shared" si="165"/>
        <v>0</v>
      </c>
      <c r="DC67" s="12">
        <f t="shared" si="165"/>
        <v>0</v>
      </c>
      <c r="DD67" s="12">
        <f t="shared" si="165"/>
        <v>0</v>
      </c>
      <c r="DE67" s="12">
        <f t="shared" si="165"/>
        <v>0</v>
      </c>
      <c r="DF67" s="12">
        <f t="shared" si="165"/>
        <v>0</v>
      </c>
      <c r="DG67" s="12">
        <f t="shared" si="165"/>
        <v>0</v>
      </c>
      <c r="DH67" s="12">
        <f t="shared" si="165"/>
        <v>0</v>
      </c>
      <c r="DI67" s="12">
        <f t="shared" si="165"/>
        <v>0</v>
      </c>
      <c r="DJ67" s="12">
        <f t="shared" si="165"/>
        <v>0</v>
      </c>
      <c r="DK67" s="12">
        <f t="shared" si="165"/>
        <v>0</v>
      </c>
      <c r="DL67" s="12">
        <f t="shared" si="165"/>
        <v>0</v>
      </c>
      <c r="DM67" s="12">
        <f t="shared" si="165"/>
        <v>0</v>
      </c>
      <c r="DN67" s="12">
        <f t="shared" si="165"/>
        <v>0</v>
      </c>
      <c r="DO67" s="12">
        <f t="shared" si="165"/>
        <v>0</v>
      </c>
      <c r="DP67" s="12">
        <f t="shared" si="165"/>
        <v>0</v>
      </c>
      <c r="DQ67" s="12">
        <f t="shared" si="165"/>
        <v>0</v>
      </c>
      <c r="DR67" s="12">
        <f t="shared" si="165"/>
        <v>0</v>
      </c>
      <c r="DS67" s="12">
        <f t="shared" si="165"/>
        <v>0</v>
      </c>
      <c r="DT67" s="12">
        <f t="shared" si="165"/>
        <v>0</v>
      </c>
      <c r="DU67" s="12">
        <f t="shared" si="165"/>
        <v>0</v>
      </c>
      <c r="DV67" s="12">
        <f t="shared" si="165"/>
        <v>0</v>
      </c>
      <c r="DW67" s="12">
        <f t="shared" si="165"/>
        <v>0</v>
      </c>
      <c r="DX67" s="12">
        <f t="shared" si="165"/>
        <v>0</v>
      </c>
      <c r="DY67" s="12">
        <f t="shared" si="165"/>
        <v>0</v>
      </c>
      <c r="DZ67" s="12">
        <f t="shared" si="165"/>
        <v>0</v>
      </c>
      <c r="EA67" s="12">
        <f t="shared" si="165"/>
        <v>0</v>
      </c>
      <c r="EB67" s="12">
        <f t="shared" si="165"/>
        <v>0</v>
      </c>
      <c r="EC67" s="12">
        <f t="shared" si="165"/>
        <v>0</v>
      </c>
      <c r="ED67" s="12">
        <f t="shared" si="165"/>
        <v>0</v>
      </c>
      <c r="EE67" s="12">
        <f t="shared" si="165"/>
        <v>0</v>
      </c>
      <c r="EF67" s="12">
        <f t="shared" si="165"/>
        <v>0</v>
      </c>
      <c r="EG67" s="12">
        <f t="shared" si="165"/>
        <v>0</v>
      </c>
      <c r="EH67" s="12">
        <f t="shared" si="165"/>
        <v>0</v>
      </c>
      <c r="EI67" s="12">
        <f t="shared" si="165"/>
        <v>0</v>
      </c>
      <c r="EJ67" s="12">
        <f t="shared" si="165"/>
        <v>0</v>
      </c>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row>
    <row r="68" spans="1:345" x14ac:dyDescent="0.35">
      <c r="A68" s="132"/>
      <c r="B68" s="27"/>
      <c r="C68" s="170"/>
      <c r="D68" s="170"/>
      <c r="E68" s="103"/>
      <c r="F68" s="105"/>
      <c r="G68" s="36" t="str">
        <f>IFERROR(VLOOKUP(E68, 'General Project Info'!$C$30:$I$40, 7, FALSE), "")</f>
        <v/>
      </c>
      <c r="H68" s="41">
        <f>IFERROR(X68*VLOOKUP(E68, 'General Project Info'!$R$30:$T$40, 3, FALSE), 0)</f>
        <v>0</v>
      </c>
      <c r="I68" s="42">
        <f>IFERROR(IF($T68="Yes", $X68*VLOOKUP($E68, 'General Project Info'!$R$30:$W$40, 5, FALSE), 0), 0)</f>
        <v>0</v>
      </c>
      <c r="J68" s="42">
        <f>IFERROR(IF($T68="No", $X68*VLOOKUP($E68, 'General Project Info'!$R$30:$W$40, 5, FALSE), 0), 0)</f>
        <v>0</v>
      </c>
      <c r="K68" s="108"/>
      <c r="L68" s="108"/>
      <c r="M68" s="109"/>
      <c r="N68" s="109"/>
      <c r="O68" s="109"/>
      <c r="P68" s="43">
        <f t="shared" si="166"/>
        <v>0</v>
      </c>
      <c r="Q68" s="27"/>
      <c r="R68" s="132"/>
      <c r="T68" s="18" t="e">
        <f>VLOOKUP($E68, 'Unit Conversions Array'!$B$4:$Z$23, 25, FALSE)</f>
        <v>#N/A</v>
      </c>
      <c r="U68">
        <f>VLOOKUP(E68, 'General Project Info'!$R$30:$W$40, 6, FALSE)</f>
        <v>1</v>
      </c>
      <c r="V68" s="18">
        <f t="shared" si="167"/>
        <v>0</v>
      </c>
      <c r="W68" s="18">
        <f>IFERROR(F68*INDEX('Unit Conversions Array'!$E$4:$Y$23, MATCH('Scenarios &amp; Measures'!E68, 'Unit Conversions Array'!$B$4:$B$23, 0), MATCH('Scenarios &amp; Measures'!G68, 'Unit Conversions Array'!$E$3:$Y$3, 0)), 0)</f>
        <v>0</v>
      </c>
      <c r="X68" s="19">
        <f t="shared" si="168"/>
        <v>0</v>
      </c>
      <c r="Y68" s="19">
        <f t="shared" si="169"/>
        <v>0</v>
      </c>
      <c r="Z68" s="19">
        <f t="shared" si="170"/>
        <v>0</v>
      </c>
      <c r="AA68" s="17">
        <f t="shared" si="181"/>
        <v>0</v>
      </c>
      <c r="AB68" s="17">
        <f t="shared" si="171"/>
        <v>20</v>
      </c>
      <c r="AC68" s="17">
        <f t="shared" si="172"/>
        <v>-20</v>
      </c>
      <c r="AD68" s="17">
        <f t="shared" si="173"/>
        <v>0</v>
      </c>
      <c r="AE68" s="18">
        <f t="shared" si="174"/>
        <v>0</v>
      </c>
      <c r="AF68" s="19">
        <f t="shared" si="162"/>
        <v>0</v>
      </c>
      <c r="AG68" s="12">
        <f t="shared" si="163"/>
        <v>0</v>
      </c>
      <c r="AH68" s="17">
        <f t="shared" si="175"/>
        <v>0</v>
      </c>
      <c r="AI68" s="23">
        <f>IF($V$10="RECs", -Y68/VLOOKUP("RECs", 'General Project Info'!$R$30:$W$40, 5, FALSE)*$V$11*IF($X$11=$Z$12, $X$10, (1/($Z$12-$X$11))*(1-($X$11/$Z$12)^$X$10)*$Z$12), 0)</f>
        <v>0</v>
      </c>
      <c r="AJ68" s="17">
        <f t="shared" si="176"/>
        <v>0</v>
      </c>
      <c r="AK68" s="17">
        <f t="shared" si="177"/>
        <v>0</v>
      </c>
      <c r="AL68" s="17">
        <f t="shared" si="178"/>
        <v>0</v>
      </c>
      <c r="AN68" s="12">
        <f t="shared" si="179"/>
        <v>0</v>
      </c>
      <c r="AO68" s="12">
        <f t="shared" si="180"/>
        <v>0</v>
      </c>
      <c r="AP68" s="12">
        <f t="shared" si="180"/>
        <v>0</v>
      </c>
      <c r="AQ68" s="12">
        <f t="shared" si="180"/>
        <v>0</v>
      </c>
      <c r="AR68" s="12">
        <f t="shared" si="180"/>
        <v>0</v>
      </c>
      <c r="AS68" s="12">
        <f t="shared" si="180"/>
        <v>0</v>
      </c>
      <c r="AT68" s="12">
        <f t="shared" si="180"/>
        <v>0</v>
      </c>
      <c r="AU68" s="12">
        <f t="shared" si="180"/>
        <v>0</v>
      </c>
      <c r="AV68" s="12">
        <f t="shared" si="180"/>
        <v>0</v>
      </c>
      <c r="AW68" s="12">
        <f t="shared" si="180"/>
        <v>0</v>
      </c>
      <c r="AX68" s="12">
        <f t="shared" si="180"/>
        <v>0</v>
      </c>
      <c r="AY68" s="12">
        <f t="shared" si="180"/>
        <v>0</v>
      </c>
      <c r="AZ68" s="12">
        <f t="shared" si="180"/>
        <v>0</v>
      </c>
      <c r="BA68" s="12">
        <f t="shared" si="180"/>
        <v>0</v>
      </c>
      <c r="BB68" s="12">
        <f t="shared" si="180"/>
        <v>0</v>
      </c>
      <c r="BC68" s="12">
        <f t="shared" si="180"/>
        <v>0</v>
      </c>
      <c r="BD68" s="12">
        <f t="shared" si="180"/>
        <v>0</v>
      </c>
      <c r="BE68" s="12">
        <f t="shared" si="180"/>
        <v>0</v>
      </c>
      <c r="BF68" s="12">
        <f t="shared" si="180"/>
        <v>0</v>
      </c>
      <c r="BG68" s="12">
        <f t="shared" si="180"/>
        <v>0</v>
      </c>
      <c r="BH68" s="12">
        <f t="shared" si="180"/>
        <v>0</v>
      </c>
      <c r="BI68" s="12">
        <f t="shared" si="180"/>
        <v>0</v>
      </c>
      <c r="BJ68" s="12">
        <f t="shared" si="180"/>
        <v>0</v>
      </c>
      <c r="BK68" s="12">
        <f t="shared" si="180"/>
        <v>0</v>
      </c>
      <c r="BL68" s="12">
        <f t="shared" si="180"/>
        <v>0</v>
      </c>
      <c r="BM68" s="12">
        <f t="shared" si="180"/>
        <v>0</v>
      </c>
      <c r="BN68" s="12">
        <f t="shared" si="180"/>
        <v>0</v>
      </c>
      <c r="BO68" s="12">
        <f t="shared" si="180"/>
        <v>0</v>
      </c>
      <c r="BP68" s="12">
        <f t="shared" si="180"/>
        <v>0</v>
      </c>
      <c r="BQ68" s="12">
        <f t="shared" si="180"/>
        <v>0</v>
      </c>
      <c r="BR68" s="12">
        <f t="shared" si="180"/>
        <v>0</v>
      </c>
      <c r="BS68" s="12">
        <f t="shared" si="180"/>
        <v>0</v>
      </c>
      <c r="BT68" s="12">
        <f t="shared" si="180"/>
        <v>0</v>
      </c>
      <c r="BU68" s="12">
        <f t="shared" si="180"/>
        <v>0</v>
      </c>
      <c r="BV68" s="12">
        <f t="shared" si="180"/>
        <v>0</v>
      </c>
      <c r="BW68" s="12">
        <f t="shared" si="180"/>
        <v>0</v>
      </c>
      <c r="BX68" s="12">
        <f t="shared" si="180"/>
        <v>0</v>
      </c>
      <c r="BY68" s="12">
        <f t="shared" si="180"/>
        <v>0</v>
      </c>
      <c r="BZ68" s="12">
        <f t="shared" si="180"/>
        <v>0</v>
      </c>
      <c r="CA68" s="12">
        <f t="shared" si="180"/>
        <v>0</v>
      </c>
      <c r="CB68" s="12">
        <f t="shared" si="180"/>
        <v>0</v>
      </c>
      <c r="CC68" s="12">
        <f t="shared" si="180"/>
        <v>0</v>
      </c>
      <c r="CD68" s="12">
        <f t="shared" si="180"/>
        <v>0</v>
      </c>
      <c r="CE68" s="12">
        <f t="shared" si="180"/>
        <v>0</v>
      </c>
      <c r="CF68" s="12">
        <f t="shared" si="180"/>
        <v>0</v>
      </c>
      <c r="CG68" s="12">
        <f t="shared" si="180"/>
        <v>0</v>
      </c>
      <c r="CH68" s="12">
        <f t="shared" si="180"/>
        <v>0</v>
      </c>
      <c r="CI68" s="12">
        <f t="shared" si="180"/>
        <v>0</v>
      </c>
      <c r="CJ68" s="12">
        <f t="shared" si="180"/>
        <v>0</v>
      </c>
      <c r="CK68" s="12">
        <f t="shared" si="180"/>
        <v>0</v>
      </c>
      <c r="CL68" s="12">
        <f t="shared" si="180"/>
        <v>0</v>
      </c>
      <c r="CM68" s="12">
        <f t="shared" si="180"/>
        <v>0</v>
      </c>
      <c r="CN68" s="12">
        <f t="shared" si="180"/>
        <v>0</v>
      </c>
      <c r="CO68" s="12">
        <f t="shared" si="180"/>
        <v>0</v>
      </c>
      <c r="CP68" s="12">
        <f t="shared" si="180"/>
        <v>0</v>
      </c>
      <c r="CQ68" s="12">
        <f t="shared" si="180"/>
        <v>0</v>
      </c>
      <c r="CR68" s="12">
        <f t="shared" si="180"/>
        <v>0</v>
      </c>
      <c r="CS68" s="12">
        <f t="shared" si="180"/>
        <v>0</v>
      </c>
      <c r="CT68" s="12">
        <f t="shared" si="180"/>
        <v>0</v>
      </c>
      <c r="CU68" s="12">
        <f t="shared" si="180"/>
        <v>0</v>
      </c>
      <c r="CV68" s="12">
        <f t="shared" si="180"/>
        <v>0</v>
      </c>
      <c r="CW68" s="12">
        <f t="shared" si="180"/>
        <v>0</v>
      </c>
      <c r="CX68" s="12">
        <f t="shared" si="180"/>
        <v>0</v>
      </c>
      <c r="CY68" s="12">
        <f t="shared" si="180"/>
        <v>0</v>
      </c>
      <c r="CZ68" s="12">
        <f t="shared" si="180"/>
        <v>0</v>
      </c>
      <c r="DA68" s="12">
        <f t="shared" si="165"/>
        <v>0</v>
      </c>
      <c r="DB68" s="12">
        <f t="shared" si="165"/>
        <v>0</v>
      </c>
      <c r="DC68" s="12">
        <f t="shared" si="165"/>
        <v>0</v>
      </c>
      <c r="DD68" s="12">
        <f t="shared" si="165"/>
        <v>0</v>
      </c>
      <c r="DE68" s="12">
        <f t="shared" si="165"/>
        <v>0</v>
      </c>
      <c r="DF68" s="12">
        <f t="shared" si="165"/>
        <v>0</v>
      </c>
      <c r="DG68" s="12">
        <f t="shared" si="165"/>
        <v>0</v>
      </c>
      <c r="DH68" s="12">
        <f t="shared" si="165"/>
        <v>0</v>
      </c>
      <c r="DI68" s="12">
        <f t="shared" si="165"/>
        <v>0</v>
      </c>
      <c r="DJ68" s="12">
        <f t="shared" si="165"/>
        <v>0</v>
      </c>
      <c r="DK68" s="12">
        <f t="shared" si="165"/>
        <v>0</v>
      </c>
      <c r="DL68" s="12">
        <f t="shared" si="165"/>
        <v>0</v>
      </c>
      <c r="DM68" s="12">
        <f t="shared" si="165"/>
        <v>0</v>
      </c>
      <c r="DN68" s="12">
        <f t="shared" si="165"/>
        <v>0</v>
      </c>
      <c r="DO68" s="12">
        <f t="shared" si="165"/>
        <v>0</v>
      </c>
      <c r="DP68" s="12">
        <f t="shared" si="165"/>
        <v>0</v>
      </c>
      <c r="DQ68" s="12">
        <f t="shared" si="165"/>
        <v>0</v>
      </c>
      <c r="DR68" s="12">
        <f t="shared" si="165"/>
        <v>0</v>
      </c>
      <c r="DS68" s="12">
        <f t="shared" si="165"/>
        <v>0</v>
      </c>
      <c r="DT68" s="12">
        <f t="shared" si="165"/>
        <v>0</v>
      </c>
      <c r="DU68" s="12">
        <f t="shared" si="165"/>
        <v>0</v>
      </c>
      <c r="DV68" s="12">
        <f t="shared" si="165"/>
        <v>0</v>
      </c>
      <c r="DW68" s="12">
        <f t="shared" si="165"/>
        <v>0</v>
      </c>
      <c r="DX68" s="12">
        <f t="shared" si="165"/>
        <v>0</v>
      </c>
      <c r="DY68" s="12">
        <f t="shared" si="165"/>
        <v>0</v>
      </c>
      <c r="DZ68" s="12">
        <f t="shared" si="165"/>
        <v>0</v>
      </c>
      <c r="EA68" s="12">
        <f t="shared" si="165"/>
        <v>0</v>
      </c>
      <c r="EB68" s="12">
        <f t="shared" si="165"/>
        <v>0</v>
      </c>
      <c r="EC68" s="12">
        <f t="shared" si="165"/>
        <v>0</v>
      </c>
      <c r="ED68" s="12">
        <f t="shared" si="165"/>
        <v>0</v>
      </c>
      <c r="EE68" s="12">
        <f t="shared" si="165"/>
        <v>0</v>
      </c>
      <c r="EF68" s="12">
        <f t="shared" si="165"/>
        <v>0</v>
      </c>
      <c r="EG68" s="12">
        <f t="shared" si="165"/>
        <v>0</v>
      </c>
      <c r="EH68" s="12">
        <f t="shared" si="165"/>
        <v>0</v>
      </c>
      <c r="EI68" s="12">
        <f t="shared" si="165"/>
        <v>0</v>
      </c>
      <c r="EJ68" s="12">
        <f t="shared" si="165"/>
        <v>0</v>
      </c>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row>
    <row r="69" spans="1:345" x14ac:dyDescent="0.35">
      <c r="A69" s="132"/>
      <c r="B69" s="27"/>
      <c r="C69" s="170"/>
      <c r="D69" s="170"/>
      <c r="E69" s="103"/>
      <c r="F69" s="105"/>
      <c r="G69" s="36" t="str">
        <f>IFERROR(VLOOKUP(E69, 'General Project Info'!$C$30:$I$40, 7, FALSE), "")</f>
        <v/>
      </c>
      <c r="H69" s="41">
        <f>IFERROR(X69*VLOOKUP(E69, 'General Project Info'!$R$30:$T$40, 3, FALSE), 0)</f>
        <v>0</v>
      </c>
      <c r="I69" s="42">
        <f>IFERROR(IF($T69="Yes", $X69*VLOOKUP($E69, 'General Project Info'!$R$30:$W$40, 5, FALSE), 0), 0)</f>
        <v>0</v>
      </c>
      <c r="J69" s="42">
        <f>IFERROR(IF($T69="No", $X69*VLOOKUP($E69, 'General Project Info'!$R$30:$W$40, 5, FALSE), 0), 0)</f>
        <v>0</v>
      </c>
      <c r="K69" s="108"/>
      <c r="L69" s="108"/>
      <c r="M69" s="109"/>
      <c r="N69" s="109"/>
      <c r="O69" s="109"/>
      <c r="P69" s="43">
        <f t="shared" si="166"/>
        <v>0</v>
      </c>
      <c r="Q69" s="27"/>
      <c r="R69" s="132"/>
      <c r="T69" s="18" t="e">
        <f>VLOOKUP($E69, 'Unit Conversions Array'!$B$4:$Z$23, 25, FALSE)</f>
        <v>#N/A</v>
      </c>
      <c r="U69">
        <f>VLOOKUP(E69, 'General Project Info'!$R$30:$W$40, 6, FALSE)</f>
        <v>1</v>
      </c>
      <c r="V69" s="18">
        <f t="shared" si="167"/>
        <v>0</v>
      </c>
      <c r="W69" s="18">
        <f>IFERROR(F69*INDEX('Unit Conversions Array'!$E$4:$Y$23, MATCH('Scenarios &amp; Measures'!E69, 'Unit Conversions Array'!$B$4:$B$23, 0), MATCH('Scenarios &amp; Measures'!G69, 'Unit Conversions Array'!$E$3:$Y$3, 0)), 0)</f>
        <v>0</v>
      </c>
      <c r="X69" s="19">
        <f t="shared" si="168"/>
        <v>0</v>
      </c>
      <c r="Y69" s="19">
        <f t="shared" si="169"/>
        <v>0</v>
      </c>
      <c r="Z69" s="19">
        <f t="shared" si="170"/>
        <v>0</v>
      </c>
      <c r="AA69" s="17">
        <f t="shared" si="181"/>
        <v>0</v>
      </c>
      <c r="AB69" s="17">
        <f t="shared" si="171"/>
        <v>20</v>
      </c>
      <c r="AC69" s="17">
        <f t="shared" si="172"/>
        <v>-20</v>
      </c>
      <c r="AD69" s="17">
        <f t="shared" si="173"/>
        <v>0</v>
      </c>
      <c r="AE69" s="18">
        <f t="shared" si="174"/>
        <v>0</v>
      </c>
      <c r="AF69" s="19">
        <f t="shared" si="162"/>
        <v>0</v>
      </c>
      <c r="AG69" s="12">
        <f t="shared" si="163"/>
        <v>0</v>
      </c>
      <c r="AH69" s="17">
        <f t="shared" si="175"/>
        <v>0</v>
      </c>
      <c r="AI69" s="23">
        <f>IF($V$10="RECs", -Y69/VLOOKUP("RECs", 'General Project Info'!$R$30:$W$40, 5, FALSE)*$V$11*IF($X$11=$Z$12, $X$10, (1/($Z$12-$X$11))*(1-($X$11/$Z$12)^$X$10)*$Z$12), 0)</f>
        <v>0</v>
      </c>
      <c r="AJ69" s="17">
        <f t="shared" si="176"/>
        <v>0</v>
      </c>
      <c r="AK69" s="17">
        <f t="shared" si="177"/>
        <v>0</v>
      </c>
      <c r="AL69" s="17">
        <f t="shared" si="178"/>
        <v>0</v>
      </c>
      <c r="AN69" s="12">
        <f t="shared" si="179"/>
        <v>0</v>
      </c>
      <c r="AO69" s="12">
        <f t="shared" si="180"/>
        <v>0</v>
      </c>
      <c r="AP69" s="12">
        <f t="shared" si="180"/>
        <v>0</v>
      </c>
      <c r="AQ69" s="12">
        <f t="shared" si="180"/>
        <v>0</v>
      </c>
      <c r="AR69" s="12">
        <f t="shared" si="180"/>
        <v>0</v>
      </c>
      <c r="AS69" s="12">
        <f t="shared" si="180"/>
        <v>0</v>
      </c>
      <c r="AT69" s="12">
        <f t="shared" si="180"/>
        <v>0</v>
      </c>
      <c r="AU69" s="12">
        <f t="shared" si="180"/>
        <v>0</v>
      </c>
      <c r="AV69" s="12">
        <f t="shared" si="180"/>
        <v>0</v>
      </c>
      <c r="AW69" s="12">
        <f t="shared" si="180"/>
        <v>0</v>
      </c>
      <c r="AX69" s="12">
        <f t="shared" si="180"/>
        <v>0</v>
      </c>
      <c r="AY69" s="12">
        <f t="shared" si="180"/>
        <v>0</v>
      </c>
      <c r="AZ69" s="12">
        <f t="shared" si="180"/>
        <v>0</v>
      </c>
      <c r="BA69" s="12">
        <f t="shared" si="180"/>
        <v>0</v>
      </c>
      <c r="BB69" s="12">
        <f t="shared" si="180"/>
        <v>0</v>
      </c>
      <c r="BC69" s="12">
        <f t="shared" si="180"/>
        <v>0</v>
      </c>
      <c r="BD69" s="12">
        <f t="shared" si="180"/>
        <v>0</v>
      </c>
      <c r="BE69" s="12">
        <f t="shared" si="180"/>
        <v>0</v>
      </c>
      <c r="BF69" s="12">
        <f t="shared" si="180"/>
        <v>0</v>
      </c>
      <c r="BG69" s="12">
        <f t="shared" si="180"/>
        <v>0</v>
      </c>
      <c r="BH69" s="12">
        <f t="shared" si="180"/>
        <v>0</v>
      </c>
      <c r="BI69" s="12">
        <f t="shared" si="180"/>
        <v>0</v>
      </c>
      <c r="BJ69" s="12">
        <f t="shared" si="180"/>
        <v>0</v>
      </c>
      <c r="BK69" s="12">
        <f t="shared" si="180"/>
        <v>0</v>
      </c>
      <c r="BL69" s="12">
        <f t="shared" si="180"/>
        <v>0</v>
      </c>
      <c r="BM69" s="12">
        <f t="shared" si="180"/>
        <v>0</v>
      </c>
      <c r="BN69" s="12">
        <f t="shared" si="180"/>
        <v>0</v>
      </c>
      <c r="BO69" s="12">
        <f t="shared" si="180"/>
        <v>0</v>
      </c>
      <c r="BP69" s="12">
        <f t="shared" si="180"/>
        <v>0</v>
      </c>
      <c r="BQ69" s="12">
        <f t="shared" si="180"/>
        <v>0</v>
      </c>
      <c r="BR69" s="12">
        <f t="shared" si="180"/>
        <v>0</v>
      </c>
      <c r="BS69" s="12">
        <f t="shared" si="180"/>
        <v>0</v>
      </c>
      <c r="BT69" s="12">
        <f t="shared" si="180"/>
        <v>0</v>
      </c>
      <c r="BU69" s="12">
        <f t="shared" si="180"/>
        <v>0</v>
      </c>
      <c r="BV69" s="12">
        <f t="shared" si="180"/>
        <v>0</v>
      </c>
      <c r="BW69" s="12">
        <f t="shared" si="180"/>
        <v>0</v>
      </c>
      <c r="BX69" s="12">
        <f t="shared" si="180"/>
        <v>0</v>
      </c>
      <c r="BY69" s="12">
        <f t="shared" si="180"/>
        <v>0</v>
      </c>
      <c r="BZ69" s="12">
        <f t="shared" si="180"/>
        <v>0</v>
      </c>
      <c r="CA69" s="12">
        <f t="shared" si="180"/>
        <v>0</v>
      </c>
      <c r="CB69" s="12">
        <f t="shared" si="180"/>
        <v>0</v>
      </c>
      <c r="CC69" s="12">
        <f t="shared" si="180"/>
        <v>0</v>
      </c>
      <c r="CD69" s="12">
        <f t="shared" si="180"/>
        <v>0</v>
      </c>
      <c r="CE69" s="12">
        <f t="shared" si="180"/>
        <v>0</v>
      </c>
      <c r="CF69" s="12">
        <f t="shared" si="180"/>
        <v>0</v>
      </c>
      <c r="CG69" s="12">
        <f t="shared" si="180"/>
        <v>0</v>
      </c>
      <c r="CH69" s="12">
        <f t="shared" si="180"/>
        <v>0</v>
      </c>
      <c r="CI69" s="12">
        <f t="shared" si="180"/>
        <v>0</v>
      </c>
      <c r="CJ69" s="12">
        <f t="shared" si="180"/>
        <v>0</v>
      </c>
      <c r="CK69" s="12">
        <f t="shared" si="180"/>
        <v>0</v>
      </c>
      <c r="CL69" s="12">
        <f t="shared" si="180"/>
        <v>0</v>
      </c>
      <c r="CM69" s="12">
        <f t="shared" si="180"/>
        <v>0</v>
      </c>
      <c r="CN69" s="12">
        <f t="shared" si="180"/>
        <v>0</v>
      </c>
      <c r="CO69" s="12">
        <f t="shared" si="180"/>
        <v>0</v>
      </c>
      <c r="CP69" s="12">
        <f t="shared" si="180"/>
        <v>0</v>
      </c>
      <c r="CQ69" s="12">
        <f t="shared" si="180"/>
        <v>0</v>
      </c>
      <c r="CR69" s="12">
        <f t="shared" si="180"/>
        <v>0</v>
      </c>
      <c r="CS69" s="12">
        <f t="shared" si="180"/>
        <v>0</v>
      </c>
      <c r="CT69" s="12">
        <f t="shared" si="180"/>
        <v>0</v>
      </c>
      <c r="CU69" s="12">
        <f t="shared" si="180"/>
        <v>0</v>
      </c>
      <c r="CV69" s="12">
        <f t="shared" si="180"/>
        <v>0</v>
      </c>
      <c r="CW69" s="12">
        <f t="shared" si="180"/>
        <v>0</v>
      </c>
      <c r="CX69" s="12">
        <f t="shared" si="180"/>
        <v>0</v>
      </c>
      <c r="CY69" s="12">
        <f t="shared" si="180"/>
        <v>0</v>
      </c>
      <c r="CZ69" s="12">
        <f t="shared" ref="CZ69:EJ72" si="182">IFERROR(IF(CZ$38&gt;=$X$10, 0, IF(MOD($AD69+CZ$38, $K69)=0, (($M69-$N69)*$Z$11^CZ$38), 0)), 0)</f>
        <v>0</v>
      </c>
      <c r="DA69" s="12">
        <f t="shared" si="182"/>
        <v>0</v>
      </c>
      <c r="DB69" s="12">
        <f t="shared" si="182"/>
        <v>0</v>
      </c>
      <c r="DC69" s="12">
        <f t="shared" si="182"/>
        <v>0</v>
      </c>
      <c r="DD69" s="12">
        <f t="shared" si="182"/>
        <v>0</v>
      </c>
      <c r="DE69" s="12">
        <f t="shared" si="182"/>
        <v>0</v>
      </c>
      <c r="DF69" s="12">
        <f t="shared" si="182"/>
        <v>0</v>
      </c>
      <c r="DG69" s="12">
        <f t="shared" si="182"/>
        <v>0</v>
      </c>
      <c r="DH69" s="12">
        <f t="shared" si="182"/>
        <v>0</v>
      </c>
      <c r="DI69" s="12">
        <f t="shared" si="182"/>
        <v>0</v>
      </c>
      <c r="DJ69" s="12">
        <f t="shared" si="182"/>
        <v>0</v>
      </c>
      <c r="DK69" s="12">
        <f t="shared" si="182"/>
        <v>0</v>
      </c>
      <c r="DL69" s="12">
        <f t="shared" si="182"/>
        <v>0</v>
      </c>
      <c r="DM69" s="12">
        <f t="shared" si="182"/>
        <v>0</v>
      </c>
      <c r="DN69" s="12">
        <f t="shared" si="182"/>
        <v>0</v>
      </c>
      <c r="DO69" s="12">
        <f t="shared" si="182"/>
        <v>0</v>
      </c>
      <c r="DP69" s="12">
        <f t="shared" si="182"/>
        <v>0</v>
      </c>
      <c r="DQ69" s="12">
        <f t="shared" si="182"/>
        <v>0</v>
      </c>
      <c r="DR69" s="12">
        <f t="shared" si="182"/>
        <v>0</v>
      </c>
      <c r="DS69" s="12">
        <f t="shared" si="182"/>
        <v>0</v>
      </c>
      <c r="DT69" s="12">
        <f t="shared" si="182"/>
        <v>0</v>
      </c>
      <c r="DU69" s="12">
        <f t="shared" si="182"/>
        <v>0</v>
      </c>
      <c r="DV69" s="12">
        <f t="shared" si="182"/>
        <v>0</v>
      </c>
      <c r="DW69" s="12">
        <f t="shared" si="182"/>
        <v>0</v>
      </c>
      <c r="DX69" s="12">
        <f t="shared" si="182"/>
        <v>0</v>
      </c>
      <c r="DY69" s="12">
        <f t="shared" si="182"/>
        <v>0</v>
      </c>
      <c r="DZ69" s="12">
        <f t="shared" si="182"/>
        <v>0</v>
      </c>
      <c r="EA69" s="12">
        <f t="shared" si="182"/>
        <v>0</v>
      </c>
      <c r="EB69" s="12">
        <f t="shared" si="182"/>
        <v>0</v>
      </c>
      <c r="EC69" s="12">
        <f t="shared" si="182"/>
        <v>0</v>
      </c>
      <c r="ED69" s="12">
        <f t="shared" si="182"/>
        <v>0</v>
      </c>
      <c r="EE69" s="12">
        <f t="shared" si="182"/>
        <v>0</v>
      </c>
      <c r="EF69" s="12">
        <f t="shared" si="182"/>
        <v>0</v>
      </c>
      <c r="EG69" s="12">
        <f t="shared" si="182"/>
        <v>0</v>
      </c>
      <c r="EH69" s="12">
        <f t="shared" si="182"/>
        <v>0</v>
      </c>
      <c r="EI69" s="12">
        <f t="shared" si="182"/>
        <v>0</v>
      </c>
      <c r="EJ69" s="12">
        <f t="shared" si="182"/>
        <v>0</v>
      </c>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row>
    <row r="70" spans="1:345" x14ac:dyDescent="0.35">
      <c r="A70" s="132"/>
      <c r="B70" s="27"/>
      <c r="C70" s="170"/>
      <c r="D70" s="170"/>
      <c r="E70" s="103"/>
      <c r="F70" s="105"/>
      <c r="G70" s="36" t="str">
        <f>IFERROR(VLOOKUP(E70, 'General Project Info'!$C$30:$I$40, 7, FALSE), "")</f>
        <v/>
      </c>
      <c r="H70" s="41">
        <f>IFERROR(X70*VLOOKUP(E70, 'General Project Info'!$R$30:$T$40, 3, FALSE), 0)</f>
        <v>0</v>
      </c>
      <c r="I70" s="42">
        <f>IFERROR(IF($T70="Yes", $X70*VLOOKUP($E70, 'General Project Info'!$R$30:$W$40, 5, FALSE), 0), 0)</f>
        <v>0</v>
      </c>
      <c r="J70" s="42">
        <f>IFERROR(IF($T70="No", $X70*VLOOKUP($E70, 'General Project Info'!$R$30:$W$40, 5, FALSE), 0), 0)</f>
        <v>0</v>
      </c>
      <c r="K70" s="108"/>
      <c r="L70" s="108"/>
      <c r="M70" s="109"/>
      <c r="N70" s="109"/>
      <c r="O70" s="109"/>
      <c r="P70" s="43">
        <f t="shared" si="166"/>
        <v>0</v>
      </c>
      <c r="Q70" s="27"/>
      <c r="R70" s="132"/>
      <c r="T70" s="18" t="e">
        <f>VLOOKUP($E70, 'Unit Conversions Array'!$B$4:$Z$23, 25, FALSE)</f>
        <v>#N/A</v>
      </c>
      <c r="U70">
        <f>VLOOKUP(E70, 'General Project Info'!$R$30:$W$40, 6, FALSE)</f>
        <v>1</v>
      </c>
      <c r="V70" s="18">
        <f t="shared" si="167"/>
        <v>0</v>
      </c>
      <c r="W70" s="18">
        <f>IFERROR(F70*INDEX('Unit Conversions Array'!$E$4:$Y$23, MATCH('Scenarios &amp; Measures'!E70, 'Unit Conversions Array'!$B$4:$B$23, 0), MATCH('Scenarios &amp; Measures'!G70, 'Unit Conversions Array'!$E$3:$Y$3, 0)), 0)</f>
        <v>0</v>
      </c>
      <c r="X70" s="19">
        <f t="shared" si="168"/>
        <v>0</v>
      </c>
      <c r="Y70" s="19">
        <f t="shared" si="169"/>
        <v>0</v>
      </c>
      <c r="Z70" s="19">
        <f t="shared" si="170"/>
        <v>0</v>
      </c>
      <c r="AA70" s="17">
        <f t="shared" si="181"/>
        <v>0</v>
      </c>
      <c r="AB70" s="17">
        <f t="shared" si="171"/>
        <v>20</v>
      </c>
      <c r="AC70" s="17">
        <f t="shared" si="172"/>
        <v>-20</v>
      </c>
      <c r="AD70" s="17">
        <f t="shared" si="173"/>
        <v>0</v>
      </c>
      <c r="AE70" s="18">
        <f t="shared" si="174"/>
        <v>0</v>
      </c>
      <c r="AF70" s="19">
        <f t="shared" si="162"/>
        <v>0</v>
      </c>
      <c r="AG70" s="12">
        <f t="shared" si="163"/>
        <v>0</v>
      </c>
      <c r="AH70" s="17">
        <f t="shared" si="175"/>
        <v>0</v>
      </c>
      <c r="AI70" s="23">
        <f>IF($V$10="RECs", -Y70/VLOOKUP("RECs", 'General Project Info'!$R$30:$W$40, 5, FALSE)*$V$11*IF($X$11=$Z$12, $X$10, (1/($Z$12-$X$11))*(1-($X$11/$Z$12)^$X$10)*$Z$12), 0)</f>
        <v>0</v>
      </c>
      <c r="AJ70" s="17">
        <f t="shared" si="176"/>
        <v>0</v>
      </c>
      <c r="AK70" s="17">
        <f t="shared" si="177"/>
        <v>0</v>
      </c>
      <c r="AL70" s="17">
        <f t="shared" si="178"/>
        <v>0</v>
      </c>
      <c r="AN70" s="12">
        <f t="shared" si="179"/>
        <v>0</v>
      </c>
      <c r="AO70" s="12">
        <f t="shared" ref="AO70:CZ73" si="183">IFERROR(IF(AO$38&gt;=$X$10, 0, IF(MOD($AD70+AO$38, $K70)=0, (($M70-$N70)*$Z$11^AO$38), 0)), 0)</f>
        <v>0</v>
      </c>
      <c r="AP70" s="12">
        <f t="shared" si="183"/>
        <v>0</v>
      </c>
      <c r="AQ70" s="12">
        <f t="shared" si="183"/>
        <v>0</v>
      </c>
      <c r="AR70" s="12">
        <f t="shared" si="183"/>
        <v>0</v>
      </c>
      <c r="AS70" s="12">
        <f t="shared" si="183"/>
        <v>0</v>
      </c>
      <c r="AT70" s="12">
        <f t="shared" si="183"/>
        <v>0</v>
      </c>
      <c r="AU70" s="12">
        <f t="shared" si="183"/>
        <v>0</v>
      </c>
      <c r="AV70" s="12">
        <f t="shared" si="183"/>
        <v>0</v>
      </c>
      <c r="AW70" s="12">
        <f t="shared" si="183"/>
        <v>0</v>
      </c>
      <c r="AX70" s="12">
        <f t="shared" si="183"/>
        <v>0</v>
      </c>
      <c r="AY70" s="12">
        <f t="shared" si="183"/>
        <v>0</v>
      </c>
      <c r="AZ70" s="12">
        <f t="shared" si="183"/>
        <v>0</v>
      </c>
      <c r="BA70" s="12">
        <f t="shared" si="183"/>
        <v>0</v>
      </c>
      <c r="BB70" s="12">
        <f t="shared" si="183"/>
        <v>0</v>
      </c>
      <c r="BC70" s="12">
        <f t="shared" si="183"/>
        <v>0</v>
      </c>
      <c r="BD70" s="12">
        <f t="shared" si="183"/>
        <v>0</v>
      </c>
      <c r="BE70" s="12">
        <f t="shared" si="183"/>
        <v>0</v>
      </c>
      <c r="BF70" s="12">
        <f t="shared" si="183"/>
        <v>0</v>
      </c>
      <c r="BG70" s="12">
        <f t="shared" si="183"/>
        <v>0</v>
      </c>
      <c r="BH70" s="12">
        <f t="shared" si="183"/>
        <v>0</v>
      </c>
      <c r="BI70" s="12">
        <f t="shared" si="183"/>
        <v>0</v>
      </c>
      <c r="BJ70" s="12">
        <f t="shared" si="183"/>
        <v>0</v>
      </c>
      <c r="BK70" s="12">
        <f t="shared" si="183"/>
        <v>0</v>
      </c>
      <c r="BL70" s="12">
        <f t="shared" si="183"/>
        <v>0</v>
      </c>
      <c r="BM70" s="12">
        <f t="shared" si="183"/>
        <v>0</v>
      </c>
      <c r="BN70" s="12">
        <f t="shared" si="183"/>
        <v>0</v>
      </c>
      <c r="BO70" s="12">
        <f t="shared" si="183"/>
        <v>0</v>
      </c>
      <c r="BP70" s="12">
        <f t="shared" si="183"/>
        <v>0</v>
      </c>
      <c r="BQ70" s="12">
        <f t="shared" si="183"/>
        <v>0</v>
      </c>
      <c r="BR70" s="12">
        <f t="shared" si="183"/>
        <v>0</v>
      </c>
      <c r="BS70" s="12">
        <f t="shared" si="183"/>
        <v>0</v>
      </c>
      <c r="BT70" s="12">
        <f t="shared" si="183"/>
        <v>0</v>
      </c>
      <c r="BU70" s="12">
        <f t="shared" si="183"/>
        <v>0</v>
      </c>
      <c r="BV70" s="12">
        <f t="shared" si="183"/>
        <v>0</v>
      </c>
      <c r="BW70" s="12">
        <f t="shared" si="183"/>
        <v>0</v>
      </c>
      <c r="BX70" s="12">
        <f t="shared" si="183"/>
        <v>0</v>
      </c>
      <c r="BY70" s="12">
        <f t="shared" si="183"/>
        <v>0</v>
      </c>
      <c r="BZ70" s="12">
        <f t="shared" si="183"/>
        <v>0</v>
      </c>
      <c r="CA70" s="12">
        <f t="shared" si="183"/>
        <v>0</v>
      </c>
      <c r="CB70" s="12">
        <f t="shared" si="183"/>
        <v>0</v>
      </c>
      <c r="CC70" s="12">
        <f t="shared" si="183"/>
        <v>0</v>
      </c>
      <c r="CD70" s="12">
        <f t="shared" si="183"/>
        <v>0</v>
      </c>
      <c r="CE70" s="12">
        <f t="shared" si="183"/>
        <v>0</v>
      </c>
      <c r="CF70" s="12">
        <f t="shared" si="183"/>
        <v>0</v>
      </c>
      <c r="CG70" s="12">
        <f t="shared" si="183"/>
        <v>0</v>
      </c>
      <c r="CH70" s="12">
        <f t="shared" si="183"/>
        <v>0</v>
      </c>
      <c r="CI70" s="12">
        <f t="shared" si="183"/>
        <v>0</v>
      </c>
      <c r="CJ70" s="12">
        <f t="shared" si="183"/>
        <v>0</v>
      </c>
      <c r="CK70" s="12">
        <f t="shared" si="183"/>
        <v>0</v>
      </c>
      <c r="CL70" s="12">
        <f t="shared" si="183"/>
        <v>0</v>
      </c>
      <c r="CM70" s="12">
        <f t="shared" si="183"/>
        <v>0</v>
      </c>
      <c r="CN70" s="12">
        <f t="shared" si="183"/>
        <v>0</v>
      </c>
      <c r="CO70" s="12">
        <f t="shared" si="183"/>
        <v>0</v>
      </c>
      <c r="CP70" s="12">
        <f t="shared" si="183"/>
        <v>0</v>
      </c>
      <c r="CQ70" s="12">
        <f t="shared" si="183"/>
        <v>0</v>
      </c>
      <c r="CR70" s="12">
        <f t="shared" si="183"/>
        <v>0</v>
      </c>
      <c r="CS70" s="12">
        <f t="shared" si="183"/>
        <v>0</v>
      </c>
      <c r="CT70" s="12">
        <f t="shared" si="183"/>
        <v>0</v>
      </c>
      <c r="CU70" s="12">
        <f t="shared" si="183"/>
        <v>0</v>
      </c>
      <c r="CV70" s="12">
        <f t="shared" si="183"/>
        <v>0</v>
      </c>
      <c r="CW70" s="12">
        <f t="shared" si="183"/>
        <v>0</v>
      </c>
      <c r="CX70" s="12">
        <f t="shared" si="183"/>
        <v>0</v>
      </c>
      <c r="CY70" s="12">
        <f t="shared" si="183"/>
        <v>0</v>
      </c>
      <c r="CZ70" s="12">
        <f t="shared" si="183"/>
        <v>0</v>
      </c>
      <c r="DA70" s="12">
        <f t="shared" si="182"/>
        <v>0</v>
      </c>
      <c r="DB70" s="12">
        <f t="shared" si="182"/>
        <v>0</v>
      </c>
      <c r="DC70" s="12">
        <f t="shared" si="182"/>
        <v>0</v>
      </c>
      <c r="DD70" s="12">
        <f t="shared" si="182"/>
        <v>0</v>
      </c>
      <c r="DE70" s="12">
        <f t="shared" si="182"/>
        <v>0</v>
      </c>
      <c r="DF70" s="12">
        <f t="shared" si="182"/>
        <v>0</v>
      </c>
      <c r="DG70" s="12">
        <f t="shared" si="182"/>
        <v>0</v>
      </c>
      <c r="DH70" s="12">
        <f t="shared" si="182"/>
        <v>0</v>
      </c>
      <c r="DI70" s="12">
        <f t="shared" si="182"/>
        <v>0</v>
      </c>
      <c r="DJ70" s="12">
        <f t="shared" si="182"/>
        <v>0</v>
      </c>
      <c r="DK70" s="12">
        <f t="shared" si="182"/>
        <v>0</v>
      </c>
      <c r="DL70" s="12">
        <f t="shared" si="182"/>
        <v>0</v>
      </c>
      <c r="DM70" s="12">
        <f t="shared" si="182"/>
        <v>0</v>
      </c>
      <c r="DN70" s="12">
        <f t="shared" si="182"/>
        <v>0</v>
      </c>
      <c r="DO70" s="12">
        <f t="shared" si="182"/>
        <v>0</v>
      </c>
      <c r="DP70" s="12">
        <f t="shared" si="182"/>
        <v>0</v>
      </c>
      <c r="DQ70" s="12">
        <f t="shared" si="182"/>
        <v>0</v>
      </c>
      <c r="DR70" s="12">
        <f t="shared" si="182"/>
        <v>0</v>
      </c>
      <c r="DS70" s="12">
        <f t="shared" si="182"/>
        <v>0</v>
      </c>
      <c r="DT70" s="12">
        <f t="shared" si="182"/>
        <v>0</v>
      </c>
      <c r="DU70" s="12">
        <f t="shared" si="182"/>
        <v>0</v>
      </c>
      <c r="DV70" s="12">
        <f t="shared" si="182"/>
        <v>0</v>
      </c>
      <c r="DW70" s="12">
        <f t="shared" si="182"/>
        <v>0</v>
      </c>
      <c r="DX70" s="12">
        <f t="shared" si="182"/>
        <v>0</v>
      </c>
      <c r="DY70" s="12">
        <f t="shared" si="182"/>
        <v>0</v>
      </c>
      <c r="DZ70" s="12">
        <f t="shared" si="182"/>
        <v>0</v>
      </c>
      <c r="EA70" s="12">
        <f t="shared" si="182"/>
        <v>0</v>
      </c>
      <c r="EB70" s="12">
        <f t="shared" si="182"/>
        <v>0</v>
      </c>
      <c r="EC70" s="12">
        <f t="shared" si="182"/>
        <v>0</v>
      </c>
      <c r="ED70" s="12">
        <f t="shared" si="182"/>
        <v>0</v>
      </c>
      <c r="EE70" s="12">
        <f t="shared" si="182"/>
        <v>0</v>
      </c>
      <c r="EF70" s="12">
        <f t="shared" si="182"/>
        <v>0</v>
      </c>
      <c r="EG70" s="12">
        <f t="shared" si="182"/>
        <v>0</v>
      </c>
      <c r="EH70" s="12">
        <f t="shared" si="182"/>
        <v>0</v>
      </c>
      <c r="EI70" s="12">
        <f t="shared" si="182"/>
        <v>0</v>
      </c>
      <c r="EJ70" s="12">
        <f t="shared" si="182"/>
        <v>0</v>
      </c>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row>
    <row r="71" spans="1:345" x14ac:dyDescent="0.35">
      <c r="A71" s="132"/>
      <c r="B71" s="27"/>
      <c r="C71" s="170"/>
      <c r="D71" s="170"/>
      <c r="E71" s="103"/>
      <c r="F71" s="105"/>
      <c r="G71" s="36" t="str">
        <f>IFERROR(VLOOKUP(E71, 'General Project Info'!$C$30:$I$40, 7, FALSE), "")</f>
        <v/>
      </c>
      <c r="H71" s="41">
        <f>IFERROR(X71*VLOOKUP(E71, 'General Project Info'!$R$30:$T$40, 3, FALSE), 0)</f>
        <v>0</v>
      </c>
      <c r="I71" s="42">
        <f>IFERROR(IF($T71="Yes", $X71*VLOOKUP($E71, 'General Project Info'!$R$30:$W$40, 5, FALSE), 0), 0)</f>
        <v>0</v>
      </c>
      <c r="J71" s="42">
        <f>IFERROR(IF($T71="No", $X71*VLOOKUP($E71, 'General Project Info'!$R$30:$W$40, 5, FALSE), 0), 0)</f>
        <v>0</v>
      </c>
      <c r="K71" s="108"/>
      <c r="L71" s="108"/>
      <c r="M71" s="109"/>
      <c r="N71" s="109"/>
      <c r="O71" s="109"/>
      <c r="P71" s="43">
        <f t="shared" si="166"/>
        <v>0</v>
      </c>
      <c r="Q71" s="27"/>
      <c r="R71" s="132"/>
      <c r="T71" s="18" t="e">
        <f>VLOOKUP($E71, 'Unit Conversions Array'!$B$4:$Z$23, 25, FALSE)</f>
        <v>#N/A</v>
      </c>
      <c r="U71">
        <f>VLOOKUP(E71, 'General Project Info'!$R$30:$W$40, 6, FALSE)</f>
        <v>1</v>
      </c>
      <c r="V71" s="18">
        <f t="shared" si="167"/>
        <v>0</v>
      </c>
      <c r="W71" s="18">
        <f>IFERROR(F71*INDEX('Unit Conversions Array'!$E$4:$Y$23, MATCH('Scenarios &amp; Measures'!E71, 'Unit Conversions Array'!$B$4:$B$23, 0), MATCH('Scenarios &amp; Measures'!G71, 'Unit Conversions Array'!$E$3:$Y$3, 0)), 0)</f>
        <v>0</v>
      </c>
      <c r="X71" s="19">
        <f t="shared" si="168"/>
        <v>0</v>
      </c>
      <c r="Y71" s="19">
        <f t="shared" si="169"/>
        <v>0</v>
      </c>
      <c r="Z71" s="19">
        <f t="shared" si="170"/>
        <v>0</v>
      </c>
      <c r="AA71" s="17">
        <f t="shared" si="181"/>
        <v>0</v>
      </c>
      <c r="AB71" s="17">
        <f t="shared" si="171"/>
        <v>20</v>
      </c>
      <c r="AC71" s="17">
        <f t="shared" si="172"/>
        <v>-20</v>
      </c>
      <c r="AD71" s="17">
        <f t="shared" si="173"/>
        <v>0</v>
      </c>
      <c r="AE71" s="18">
        <f t="shared" si="174"/>
        <v>0</v>
      </c>
      <c r="AF71" s="19">
        <f t="shared" si="162"/>
        <v>0</v>
      </c>
      <c r="AG71" s="12">
        <f t="shared" si="163"/>
        <v>0</v>
      </c>
      <c r="AH71" s="17">
        <f t="shared" si="175"/>
        <v>0</v>
      </c>
      <c r="AI71" s="23">
        <f>IF($V$10="RECs", -Y71/VLOOKUP("RECs", 'General Project Info'!$R$30:$W$40, 5, FALSE)*$V$11*IF($X$11=$Z$12, $X$10, (1/($Z$12-$X$11))*(1-($X$11/$Z$12)^$X$10)*$Z$12), 0)</f>
        <v>0</v>
      </c>
      <c r="AJ71" s="17">
        <f t="shared" si="176"/>
        <v>0</v>
      </c>
      <c r="AK71" s="17">
        <f t="shared" si="177"/>
        <v>0</v>
      </c>
      <c r="AL71" s="17">
        <f t="shared" si="178"/>
        <v>0</v>
      </c>
      <c r="AN71" s="12">
        <f t="shared" si="179"/>
        <v>0</v>
      </c>
      <c r="AO71" s="12">
        <f t="shared" si="183"/>
        <v>0</v>
      </c>
      <c r="AP71" s="12">
        <f t="shared" si="183"/>
        <v>0</v>
      </c>
      <c r="AQ71" s="12">
        <f t="shared" si="183"/>
        <v>0</v>
      </c>
      <c r="AR71" s="12">
        <f t="shared" si="183"/>
        <v>0</v>
      </c>
      <c r="AS71" s="12">
        <f t="shared" si="183"/>
        <v>0</v>
      </c>
      <c r="AT71" s="12">
        <f t="shared" si="183"/>
        <v>0</v>
      </c>
      <c r="AU71" s="12">
        <f t="shared" si="183"/>
        <v>0</v>
      </c>
      <c r="AV71" s="12">
        <f t="shared" si="183"/>
        <v>0</v>
      </c>
      <c r="AW71" s="12">
        <f t="shared" si="183"/>
        <v>0</v>
      </c>
      <c r="AX71" s="12">
        <f t="shared" si="183"/>
        <v>0</v>
      </c>
      <c r="AY71" s="12">
        <f t="shared" si="183"/>
        <v>0</v>
      </c>
      <c r="AZ71" s="12">
        <f t="shared" si="183"/>
        <v>0</v>
      </c>
      <c r="BA71" s="12">
        <f t="shared" si="183"/>
        <v>0</v>
      </c>
      <c r="BB71" s="12">
        <f t="shared" si="183"/>
        <v>0</v>
      </c>
      <c r="BC71" s="12">
        <f t="shared" si="183"/>
        <v>0</v>
      </c>
      <c r="BD71" s="12">
        <f t="shared" si="183"/>
        <v>0</v>
      </c>
      <c r="BE71" s="12">
        <f t="shared" si="183"/>
        <v>0</v>
      </c>
      <c r="BF71" s="12">
        <f t="shared" si="183"/>
        <v>0</v>
      </c>
      <c r="BG71" s="12">
        <f t="shared" si="183"/>
        <v>0</v>
      </c>
      <c r="BH71" s="12">
        <f t="shared" si="183"/>
        <v>0</v>
      </c>
      <c r="BI71" s="12">
        <f t="shared" si="183"/>
        <v>0</v>
      </c>
      <c r="BJ71" s="12">
        <f t="shared" si="183"/>
        <v>0</v>
      </c>
      <c r="BK71" s="12">
        <f t="shared" si="183"/>
        <v>0</v>
      </c>
      <c r="BL71" s="12">
        <f t="shared" si="183"/>
        <v>0</v>
      </c>
      <c r="BM71" s="12">
        <f t="shared" si="183"/>
        <v>0</v>
      </c>
      <c r="BN71" s="12">
        <f t="shared" si="183"/>
        <v>0</v>
      </c>
      <c r="BO71" s="12">
        <f t="shared" si="183"/>
        <v>0</v>
      </c>
      <c r="BP71" s="12">
        <f t="shared" si="183"/>
        <v>0</v>
      </c>
      <c r="BQ71" s="12">
        <f t="shared" si="183"/>
        <v>0</v>
      </c>
      <c r="BR71" s="12">
        <f t="shared" si="183"/>
        <v>0</v>
      </c>
      <c r="BS71" s="12">
        <f t="shared" si="183"/>
        <v>0</v>
      </c>
      <c r="BT71" s="12">
        <f t="shared" si="183"/>
        <v>0</v>
      </c>
      <c r="BU71" s="12">
        <f t="shared" si="183"/>
        <v>0</v>
      </c>
      <c r="BV71" s="12">
        <f t="shared" si="183"/>
        <v>0</v>
      </c>
      <c r="BW71" s="12">
        <f t="shared" si="183"/>
        <v>0</v>
      </c>
      <c r="BX71" s="12">
        <f t="shared" si="183"/>
        <v>0</v>
      </c>
      <c r="BY71" s="12">
        <f t="shared" si="183"/>
        <v>0</v>
      </c>
      <c r="BZ71" s="12">
        <f t="shared" si="183"/>
        <v>0</v>
      </c>
      <c r="CA71" s="12">
        <f t="shared" si="183"/>
        <v>0</v>
      </c>
      <c r="CB71" s="12">
        <f t="shared" si="183"/>
        <v>0</v>
      </c>
      <c r="CC71" s="12">
        <f t="shared" si="183"/>
        <v>0</v>
      </c>
      <c r="CD71" s="12">
        <f t="shared" si="183"/>
        <v>0</v>
      </c>
      <c r="CE71" s="12">
        <f t="shared" si="183"/>
        <v>0</v>
      </c>
      <c r="CF71" s="12">
        <f t="shared" si="183"/>
        <v>0</v>
      </c>
      <c r="CG71" s="12">
        <f t="shared" si="183"/>
        <v>0</v>
      </c>
      <c r="CH71" s="12">
        <f t="shared" si="183"/>
        <v>0</v>
      </c>
      <c r="CI71" s="12">
        <f t="shared" si="183"/>
        <v>0</v>
      </c>
      <c r="CJ71" s="12">
        <f t="shared" si="183"/>
        <v>0</v>
      </c>
      <c r="CK71" s="12">
        <f t="shared" si="183"/>
        <v>0</v>
      </c>
      <c r="CL71" s="12">
        <f t="shared" si="183"/>
        <v>0</v>
      </c>
      <c r="CM71" s="12">
        <f t="shared" si="183"/>
        <v>0</v>
      </c>
      <c r="CN71" s="12">
        <f t="shared" si="183"/>
        <v>0</v>
      </c>
      <c r="CO71" s="12">
        <f t="shared" si="183"/>
        <v>0</v>
      </c>
      <c r="CP71" s="12">
        <f t="shared" si="183"/>
        <v>0</v>
      </c>
      <c r="CQ71" s="12">
        <f t="shared" si="183"/>
        <v>0</v>
      </c>
      <c r="CR71" s="12">
        <f t="shared" si="183"/>
        <v>0</v>
      </c>
      <c r="CS71" s="12">
        <f t="shared" si="183"/>
        <v>0</v>
      </c>
      <c r="CT71" s="12">
        <f t="shared" si="183"/>
        <v>0</v>
      </c>
      <c r="CU71" s="12">
        <f t="shared" si="183"/>
        <v>0</v>
      </c>
      <c r="CV71" s="12">
        <f t="shared" si="183"/>
        <v>0</v>
      </c>
      <c r="CW71" s="12">
        <f t="shared" si="183"/>
        <v>0</v>
      </c>
      <c r="CX71" s="12">
        <f t="shared" si="183"/>
        <v>0</v>
      </c>
      <c r="CY71" s="12">
        <f t="shared" si="183"/>
        <v>0</v>
      </c>
      <c r="CZ71" s="12">
        <f t="shared" si="183"/>
        <v>0</v>
      </c>
      <c r="DA71" s="12">
        <f t="shared" si="182"/>
        <v>0</v>
      </c>
      <c r="DB71" s="12">
        <f t="shared" si="182"/>
        <v>0</v>
      </c>
      <c r="DC71" s="12">
        <f t="shared" si="182"/>
        <v>0</v>
      </c>
      <c r="DD71" s="12">
        <f t="shared" si="182"/>
        <v>0</v>
      </c>
      <c r="DE71" s="12">
        <f t="shared" si="182"/>
        <v>0</v>
      </c>
      <c r="DF71" s="12">
        <f t="shared" si="182"/>
        <v>0</v>
      </c>
      <c r="DG71" s="12">
        <f t="shared" si="182"/>
        <v>0</v>
      </c>
      <c r="DH71" s="12">
        <f t="shared" si="182"/>
        <v>0</v>
      </c>
      <c r="DI71" s="12">
        <f t="shared" si="182"/>
        <v>0</v>
      </c>
      <c r="DJ71" s="12">
        <f t="shared" si="182"/>
        <v>0</v>
      </c>
      <c r="DK71" s="12">
        <f t="shared" si="182"/>
        <v>0</v>
      </c>
      <c r="DL71" s="12">
        <f t="shared" si="182"/>
        <v>0</v>
      </c>
      <c r="DM71" s="12">
        <f t="shared" si="182"/>
        <v>0</v>
      </c>
      <c r="DN71" s="12">
        <f t="shared" si="182"/>
        <v>0</v>
      </c>
      <c r="DO71" s="12">
        <f t="shared" si="182"/>
        <v>0</v>
      </c>
      <c r="DP71" s="12">
        <f t="shared" si="182"/>
        <v>0</v>
      </c>
      <c r="DQ71" s="12">
        <f t="shared" si="182"/>
        <v>0</v>
      </c>
      <c r="DR71" s="12">
        <f t="shared" si="182"/>
        <v>0</v>
      </c>
      <c r="DS71" s="12">
        <f t="shared" si="182"/>
        <v>0</v>
      </c>
      <c r="DT71" s="12">
        <f t="shared" si="182"/>
        <v>0</v>
      </c>
      <c r="DU71" s="12">
        <f t="shared" si="182"/>
        <v>0</v>
      </c>
      <c r="DV71" s="12">
        <f t="shared" si="182"/>
        <v>0</v>
      </c>
      <c r="DW71" s="12">
        <f t="shared" si="182"/>
        <v>0</v>
      </c>
      <c r="DX71" s="12">
        <f t="shared" si="182"/>
        <v>0</v>
      </c>
      <c r="DY71" s="12">
        <f t="shared" si="182"/>
        <v>0</v>
      </c>
      <c r="DZ71" s="12">
        <f t="shared" si="182"/>
        <v>0</v>
      </c>
      <c r="EA71" s="12">
        <f t="shared" si="182"/>
        <v>0</v>
      </c>
      <c r="EB71" s="12">
        <f t="shared" si="182"/>
        <v>0</v>
      </c>
      <c r="EC71" s="12">
        <f t="shared" si="182"/>
        <v>0</v>
      </c>
      <c r="ED71" s="12">
        <f t="shared" si="182"/>
        <v>0</v>
      </c>
      <c r="EE71" s="12">
        <f t="shared" si="182"/>
        <v>0</v>
      </c>
      <c r="EF71" s="12">
        <f t="shared" si="182"/>
        <v>0</v>
      </c>
      <c r="EG71" s="12">
        <f t="shared" si="182"/>
        <v>0</v>
      </c>
      <c r="EH71" s="12">
        <f t="shared" si="182"/>
        <v>0</v>
      </c>
      <c r="EI71" s="12">
        <f t="shared" si="182"/>
        <v>0</v>
      </c>
      <c r="EJ71" s="12">
        <f t="shared" si="182"/>
        <v>0</v>
      </c>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row>
    <row r="72" spans="1:345" x14ac:dyDescent="0.35">
      <c r="A72" s="132"/>
      <c r="B72" s="27"/>
      <c r="C72" s="170"/>
      <c r="D72" s="170"/>
      <c r="E72" s="103"/>
      <c r="F72" s="105"/>
      <c r="G72" s="36" t="str">
        <f>IFERROR(VLOOKUP(E72, 'General Project Info'!$C$30:$I$40, 7, FALSE), "")</f>
        <v/>
      </c>
      <c r="H72" s="41">
        <f>IFERROR(X72*VLOOKUP(E72, 'General Project Info'!$R$30:$T$40, 3, FALSE), 0)</f>
        <v>0</v>
      </c>
      <c r="I72" s="42">
        <f>IFERROR(IF($T72="Yes", $X72*VLOOKUP($E72, 'General Project Info'!$R$30:$W$40, 5, FALSE), 0), 0)</f>
        <v>0</v>
      </c>
      <c r="J72" s="42">
        <f>IFERROR(IF($T72="No", $X72*VLOOKUP($E72, 'General Project Info'!$R$30:$W$40, 5, FALSE), 0), 0)</f>
        <v>0</v>
      </c>
      <c r="K72" s="108"/>
      <c r="L72" s="108"/>
      <c r="M72" s="109"/>
      <c r="N72" s="109"/>
      <c r="O72" s="109"/>
      <c r="P72" s="43">
        <f t="shared" si="166"/>
        <v>0</v>
      </c>
      <c r="Q72" s="27"/>
      <c r="R72" s="132"/>
      <c r="T72" s="18" t="e">
        <f>VLOOKUP($E72, 'Unit Conversions Array'!$B$4:$Z$23, 25, FALSE)</f>
        <v>#N/A</v>
      </c>
      <c r="U72">
        <f>VLOOKUP(E72, 'General Project Info'!$R$30:$W$40, 6, FALSE)</f>
        <v>1</v>
      </c>
      <c r="V72" s="18">
        <f t="shared" si="167"/>
        <v>0</v>
      </c>
      <c r="W72" s="18">
        <f>IFERROR(F72*INDEX('Unit Conversions Array'!$E$4:$Y$23, MATCH('Scenarios &amp; Measures'!E72, 'Unit Conversions Array'!$B$4:$B$23, 0), MATCH('Scenarios &amp; Measures'!G72, 'Unit Conversions Array'!$E$3:$Y$3, 0)), 0)</f>
        <v>0</v>
      </c>
      <c r="X72" s="19">
        <f t="shared" si="168"/>
        <v>0</v>
      </c>
      <c r="Y72" s="19">
        <f t="shared" si="169"/>
        <v>0</v>
      </c>
      <c r="Z72" s="19">
        <f t="shared" si="170"/>
        <v>0</v>
      </c>
      <c r="AA72" s="17">
        <f t="shared" si="181"/>
        <v>0</v>
      </c>
      <c r="AB72" s="17">
        <f t="shared" si="171"/>
        <v>20</v>
      </c>
      <c r="AC72" s="17">
        <f t="shared" si="172"/>
        <v>-20</v>
      </c>
      <c r="AD72" s="17">
        <f t="shared" si="173"/>
        <v>0</v>
      </c>
      <c r="AE72" s="18">
        <f t="shared" si="174"/>
        <v>0</v>
      </c>
      <c r="AF72" s="19">
        <f t="shared" si="162"/>
        <v>0</v>
      </c>
      <c r="AG72" s="12">
        <f t="shared" si="163"/>
        <v>0</v>
      </c>
      <c r="AH72" s="17">
        <f t="shared" si="175"/>
        <v>0</v>
      </c>
      <c r="AI72" s="23">
        <f>IF($V$10="RECs", -Y72/VLOOKUP("RECs", 'General Project Info'!$R$30:$W$40, 5, FALSE)*$V$11*IF($X$11=$Z$12, $X$10, (1/($Z$12-$X$11))*(1-($X$11/$Z$12)^$X$10)*$Z$12), 0)</f>
        <v>0</v>
      </c>
      <c r="AJ72" s="17">
        <f t="shared" si="176"/>
        <v>0</v>
      </c>
      <c r="AK72" s="17">
        <f t="shared" si="177"/>
        <v>0</v>
      </c>
      <c r="AL72" s="17">
        <f t="shared" si="178"/>
        <v>0</v>
      </c>
      <c r="AN72" s="12">
        <f t="shared" si="179"/>
        <v>0</v>
      </c>
      <c r="AO72" s="12">
        <f t="shared" si="183"/>
        <v>0</v>
      </c>
      <c r="AP72" s="12">
        <f t="shared" si="183"/>
        <v>0</v>
      </c>
      <c r="AQ72" s="12">
        <f t="shared" si="183"/>
        <v>0</v>
      </c>
      <c r="AR72" s="12">
        <f t="shared" si="183"/>
        <v>0</v>
      </c>
      <c r="AS72" s="12">
        <f t="shared" si="183"/>
        <v>0</v>
      </c>
      <c r="AT72" s="12">
        <f t="shared" si="183"/>
        <v>0</v>
      </c>
      <c r="AU72" s="12">
        <f t="shared" si="183"/>
        <v>0</v>
      </c>
      <c r="AV72" s="12">
        <f t="shared" si="183"/>
        <v>0</v>
      </c>
      <c r="AW72" s="12">
        <f t="shared" si="183"/>
        <v>0</v>
      </c>
      <c r="AX72" s="12">
        <f t="shared" si="183"/>
        <v>0</v>
      </c>
      <c r="AY72" s="12">
        <f t="shared" si="183"/>
        <v>0</v>
      </c>
      <c r="AZ72" s="12">
        <f t="shared" si="183"/>
        <v>0</v>
      </c>
      <c r="BA72" s="12">
        <f t="shared" si="183"/>
        <v>0</v>
      </c>
      <c r="BB72" s="12">
        <f t="shared" si="183"/>
        <v>0</v>
      </c>
      <c r="BC72" s="12">
        <f t="shared" si="183"/>
        <v>0</v>
      </c>
      <c r="BD72" s="12">
        <f t="shared" si="183"/>
        <v>0</v>
      </c>
      <c r="BE72" s="12">
        <f t="shared" si="183"/>
        <v>0</v>
      </c>
      <c r="BF72" s="12">
        <f t="shared" si="183"/>
        <v>0</v>
      </c>
      <c r="BG72" s="12">
        <f t="shared" si="183"/>
        <v>0</v>
      </c>
      <c r="BH72" s="12">
        <f t="shared" si="183"/>
        <v>0</v>
      </c>
      <c r="BI72" s="12">
        <f t="shared" si="183"/>
        <v>0</v>
      </c>
      <c r="BJ72" s="12">
        <f t="shared" si="183"/>
        <v>0</v>
      </c>
      <c r="BK72" s="12">
        <f t="shared" si="183"/>
        <v>0</v>
      </c>
      <c r="BL72" s="12">
        <f t="shared" si="183"/>
        <v>0</v>
      </c>
      <c r="BM72" s="12">
        <f t="shared" si="183"/>
        <v>0</v>
      </c>
      <c r="BN72" s="12">
        <f t="shared" si="183"/>
        <v>0</v>
      </c>
      <c r="BO72" s="12">
        <f t="shared" si="183"/>
        <v>0</v>
      </c>
      <c r="BP72" s="12">
        <f t="shared" si="183"/>
        <v>0</v>
      </c>
      <c r="BQ72" s="12">
        <f t="shared" si="183"/>
        <v>0</v>
      </c>
      <c r="BR72" s="12">
        <f t="shared" si="183"/>
        <v>0</v>
      </c>
      <c r="BS72" s="12">
        <f t="shared" si="183"/>
        <v>0</v>
      </c>
      <c r="BT72" s="12">
        <f t="shared" si="183"/>
        <v>0</v>
      </c>
      <c r="BU72" s="12">
        <f t="shared" si="183"/>
        <v>0</v>
      </c>
      <c r="BV72" s="12">
        <f t="shared" si="183"/>
        <v>0</v>
      </c>
      <c r="BW72" s="12">
        <f t="shared" si="183"/>
        <v>0</v>
      </c>
      <c r="BX72" s="12">
        <f t="shared" si="183"/>
        <v>0</v>
      </c>
      <c r="BY72" s="12">
        <f t="shared" si="183"/>
        <v>0</v>
      </c>
      <c r="BZ72" s="12">
        <f t="shared" si="183"/>
        <v>0</v>
      </c>
      <c r="CA72" s="12">
        <f t="shared" si="183"/>
        <v>0</v>
      </c>
      <c r="CB72" s="12">
        <f t="shared" si="183"/>
        <v>0</v>
      </c>
      <c r="CC72" s="12">
        <f t="shared" si="183"/>
        <v>0</v>
      </c>
      <c r="CD72" s="12">
        <f t="shared" si="183"/>
        <v>0</v>
      </c>
      <c r="CE72" s="12">
        <f t="shared" si="183"/>
        <v>0</v>
      </c>
      <c r="CF72" s="12">
        <f t="shared" si="183"/>
        <v>0</v>
      </c>
      <c r="CG72" s="12">
        <f t="shared" si="183"/>
        <v>0</v>
      </c>
      <c r="CH72" s="12">
        <f t="shared" si="183"/>
        <v>0</v>
      </c>
      <c r="CI72" s="12">
        <f t="shared" si="183"/>
        <v>0</v>
      </c>
      <c r="CJ72" s="12">
        <f t="shared" si="183"/>
        <v>0</v>
      </c>
      <c r="CK72" s="12">
        <f t="shared" si="183"/>
        <v>0</v>
      </c>
      <c r="CL72" s="12">
        <f t="shared" si="183"/>
        <v>0</v>
      </c>
      <c r="CM72" s="12">
        <f t="shared" si="183"/>
        <v>0</v>
      </c>
      <c r="CN72" s="12">
        <f t="shared" si="183"/>
        <v>0</v>
      </c>
      <c r="CO72" s="12">
        <f t="shared" si="183"/>
        <v>0</v>
      </c>
      <c r="CP72" s="12">
        <f t="shared" si="183"/>
        <v>0</v>
      </c>
      <c r="CQ72" s="12">
        <f t="shared" si="183"/>
        <v>0</v>
      </c>
      <c r="CR72" s="12">
        <f t="shared" si="183"/>
        <v>0</v>
      </c>
      <c r="CS72" s="12">
        <f t="shared" si="183"/>
        <v>0</v>
      </c>
      <c r="CT72" s="12">
        <f t="shared" si="183"/>
        <v>0</v>
      </c>
      <c r="CU72" s="12">
        <f t="shared" si="183"/>
        <v>0</v>
      </c>
      <c r="CV72" s="12">
        <f t="shared" si="183"/>
        <v>0</v>
      </c>
      <c r="CW72" s="12">
        <f t="shared" si="183"/>
        <v>0</v>
      </c>
      <c r="CX72" s="12">
        <f t="shared" si="183"/>
        <v>0</v>
      </c>
      <c r="CY72" s="12">
        <f t="shared" si="183"/>
        <v>0</v>
      </c>
      <c r="CZ72" s="12">
        <f t="shared" si="183"/>
        <v>0</v>
      </c>
      <c r="DA72" s="12">
        <f t="shared" si="182"/>
        <v>0</v>
      </c>
      <c r="DB72" s="12">
        <f t="shared" si="182"/>
        <v>0</v>
      </c>
      <c r="DC72" s="12">
        <f t="shared" si="182"/>
        <v>0</v>
      </c>
      <c r="DD72" s="12">
        <f t="shared" si="182"/>
        <v>0</v>
      </c>
      <c r="DE72" s="12">
        <f t="shared" si="182"/>
        <v>0</v>
      </c>
      <c r="DF72" s="12">
        <f t="shared" si="182"/>
        <v>0</v>
      </c>
      <c r="DG72" s="12">
        <f t="shared" si="182"/>
        <v>0</v>
      </c>
      <c r="DH72" s="12">
        <f t="shared" si="182"/>
        <v>0</v>
      </c>
      <c r="DI72" s="12">
        <f t="shared" si="182"/>
        <v>0</v>
      </c>
      <c r="DJ72" s="12">
        <f t="shared" si="182"/>
        <v>0</v>
      </c>
      <c r="DK72" s="12">
        <f t="shared" si="182"/>
        <v>0</v>
      </c>
      <c r="DL72" s="12">
        <f t="shared" si="182"/>
        <v>0</v>
      </c>
      <c r="DM72" s="12">
        <f t="shared" si="182"/>
        <v>0</v>
      </c>
      <c r="DN72" s="12">
        <f t="shared" si="182"/>
        <v>0</v>
      </c>
      <c r="DO72" s="12">
        <f t="shared" si="182"/>
        <v>0</v>
      </c>
      <c r="DP72" s="12">
        <f t="shared" si="182"/>
        <v>0</v>
      </c>
      <c r="DQ72" s="12">
        <f t="shared" si="182"/>
        <v>0</v>
      </c>
      <c r="DR72" s="12">
        <f t="shared" si="182"/>
        <v>0</v>
      </c>
      <c r="DS72" s="12">
        <f t="shared" si="182"/>
        <v>0</v>
      </c>
      <c r="DT72" s="12">
        <f t="shared" si="182"/>
        <v>0</v>
      </c>
      <c r="DU72" s="12">
        <f t="shared" si="182"/>
        <v>0</v>
      </c>
      <c r="DV72" s="12">
        <f t="shared" si="182"/>
        <v>0</v>
      </c>
      <c r="DW72" s="12">
        <f t="shared" si="182"/>
        <v>0</v>
      </c>
      <c r="DX72" s="12">
        <f t="shared" si="182"/>
        <v>0</v>
      </c>
      <c r="DY72" s="12">
        <f t="shared" si="182"/>
        <v>0</v>
      </c>
      <c r="DZ72" s="12">
        <f t="shared" si="182"/>
        <v>0</v>
      </c>
      <c r="EA72" s="12">
        <f t="shared" si="182"/>
        <v>0</v>
      </c>
      <c r="EB72" s="12">
        <f t="shared" si="182"/>
        <v>0</v>
      </c>
      <c r="EC72" s="12">
        <f t="shared" si="182"/>
        <v>0</v>
      </c>
      <c r="ED72" s="12">
        <f t="shared" si="182"/>
        <v>0</v>
      </c>
      <c r="EE72" s="12">
        <f t="shared" si="182"/>
        <v>0</v>
      </c>
      <c r="EF72" s="12">
        <f t="shared" si="182"/>
        <v>0</v>
      </c>
      <c r="EG72" s="12">
        <f t="shared" si="182"/>
        <v>0</v>
      </c>
      <c r="EH72" s="12">
        <f t="shared" si="182"/>
        <v>0</v>
      </c>
      <c r="EI72" s="12">
        <f t="shared" si="182"/>
        <v>0</v>
      </c>
      <c r="EJ72" s="12">
        <f t="shared" si="182"/>
        <v>0</v>
      </c>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row>
    <row r="73" spans="1:345" x14ac:dyDescent="0.35">
      <c r="A73" s="132"/>
      <c r="B73" s="27"/>
      <c r="C73" s="170"/>
      <c r="D73" s="170"/>
      <c r="E73" s="103"/>
      <c r="F73" s="105"/>
      <c r="G73" s="36" t="str">
        <f>IFERROR(VLOOKUP(E73, 'General Project Info'!$C$30:$I$40, 7, FALSE), "")</f>
        <v/>
      </c>
      <c r="H73" s="41">
        <f>IFERROR(X73*VLOOKUP(E73, 'General Project Info'!$R$30:$T$40, 3, FALSE), 0)</f>
        <v>0</v>
      </c>
      <c r="I73" s="42">
        <f>IFERROR(IF($T73="Yes", $X73*VLOOKUP($E73, 'General Project Info'!$R$30:$W$40, 5, FALSE), 0), 0)</f>
        <v>0</v>
      </c>
      <c r="J73" s="42">
        <f>IFERROR(IF($T73="No", $X73*VLOOKUP($E73, 'General Project Info'!$R$30:$W$40, 5, FALSE), 0), 0)</f>
        <v>0</v>
      </c>
      <c r="K73" s="108"/>
      <c r="L73" s="108"/>
      <c r="M73" s="109"/>
      <c r="N73" s="109"/>
      <c r="O73" s="109"/>
      <c r="P73" s="43">
        <f t="shared" si="166"/>
        <v>0</v>
      </c>
      <c r="Q73" s="27"/>
      <c r="R73" s="132"/>
      <c r="T73" s="18" t="e">
        <f>VLOOKUP($E73, 'Unit Conversions Array'!$B$4:$Z$23, 25, FALSE)</f>
        <v>#N/A</v>
      </c>
      <c r="U73">
        <f>VLOOKUP(E73, 'General Project Info'!$R$30:$W$40, 6, FALSE)</f>
        <v>1</v>
      </c>
      <c r="V73" s="18">
        <f t="shared" si="167"/>
        <v>0</v>
      </c>
      <c r="W73" s="18">
        <f>IFERROR(F73*INDEX('Unit Conversions Array'!$E$4:$Y$23, MATCH('Scenarios &amp; Measures'!E73, 'Unit Conversions Array'!$B$4:$B$23, 0), MATCH('Scenarios &amp; Measures'!G73, 'Unit Conversions Array'!$E$3:$Y$3, 0)), 0)</f>
        <v>0</v>
      </c>
      <c r="X73" s="19">
        <f t="shared" si="168"/>
        <v>0</v>
      </c>
      <c r="Y73" s="19">
        <f t="shared" si="169"/>
        <v>0</v>
      </c>
      <c r="Z73" s="19">
        <f t="shared" si="170"/>
        <v>0</v>
      </c>
      <c r="AA73" s="17">
        <f t="shared" si="181"/>
        <v>0</v>
      </c>
      <c r="AB73" s="17">
        <f t="shared" si="171"/>
        <v>20</v>
      </c>
      <c r="AC73" s="17">
        <f t="shared" si="172"/>
        <v>-20</v>
      </c>
      <c r="AD73" s="17">
        <f t="shared" si="173"/>
        <v>0</v>
      </c>
      <c r="AE73" s="18">
        <f t="shared" si="174"/>
        <v>0</v>
      </c>
      <c r="AF73" s="19">
        <f t="shared" si="162"/>
        <v>0</v>
      </c>
      <c r="AG73" s="12">
        <f t="shared" si="163"/>
        <v>0</v>
      </c>
      <c r="AH73" s="17">
        <f t="shared" si="175"/>
        <v>0</v>
      </c>
      <c r="AI73" s="23">
        <f>IF($V$10="RECs", -Y73/VLOOKUP("RECs", 'General Project Info'!$R$30:$W$40, 5, FALSE)*$V$11*IF($X$11=$Z$12, $X$10, (1/($Z$12-$X$11))*(1-($X$11/$Z$12)^$X$10)*$Z$12), 0)</f>
        <v>0</v>
      </c>
      <c r="AJ73" s="17">
        <f t="shared" si="176"/>
        <v>0</v>
      </c>
      <c r="AK73" s="17">
        <f t="shared" si="177"/>
        <v>0</v>
      </c>
      <c r="AL73" s="17">
        <f t="shared" si="178"/>
        <v>0</v>
      </c>
      <c r="AN73" s="12">
        <f t="shared" si="179"/>
        <v>0</v>
      </c>
      <c r="AO73" s="12">
        <f t="shared" si="183"/>
        <v>0</v>
      </c>
      <c r="AP73" s="12">
        <f t="shared" si="183"/>
        <v>0</v>
      </c>
      <c r="AQ73" s="12">
        <f t="shared" si="183"/>
        <v>0</v>
      </c>
      <c r="AR73" s="12">
        <f t="shared" si="183"/>
        <v>0</v>
      </c>
      <c r="AS73" s="12">
        <f t="shared" si="183"/>
        <v>0</v>
      </c>
      <c r="AT73" s="12">
        <f t="shared" si="183"/>
        <v>0</v>
      </c>
      <c r="AU73" s="12">
        <f t="shared" si="183"/>
        <v>0</v>
      </c>
      <c r="AV73" s="12">
        <f t="shared" si="183"/>
        <v>0</v>
      </c>
      <c r="AW73" s="12">
        <f t="shared" si="183"/>
        <v>0</v>
      </c>
      <c r="AX73" s="12">
        <f t="shared" si="183"/>
        <v>0</v>
      </c>
      <c r="AY73" s="12">
        <f t="shared" si="183"/>
        <v>0</v>
      </c>
      <c r="AZ73" s="12">
        <f t="shared" si="183"/>
        <v>0</v>
      </c>
      <c r="BA73" s="12">
        <f t="shared" si="183"/>
        <v>0</v>
      </c>
      <c r="BB73" s="12">
        <f t="shared" si="183"/>
        <v>0</v>
      </c>
      <c r="BC73" s="12">
        <f t="shared" si="183"/>
        <v>0</v>
      </c>
      <c r="BD73" s="12">
        <f t="shared" si="183"/>
        <v>0</v>
      </c>
      <c r="BE73" s="12">
        <f t="shared" si="183"/>
        <v>0</v>
      </c>
      <c r="BF73" s="12">
        <f t="shared" si="183"/>
        <v>0</v>
      </c>
      <c r="BG73" s="12">
        <f t="shared" si="183"/>
        <v>0</v>
      </c>
      <c r="BH73" s="12">
        <f t="shared" si="183"/>
        <v>0</v>
      </c>
      <c r="BI73" s="12">
        <f t="shared" si="183"/>
        <v>0</v>
      </c>
      <c r="BJ73" s="12">
        <f t="shared" si="183"/>
        <v>0</v>
      </c>
      <c r="BK73" s="12">
        <f t="shared" si="183"/>
        <v>0</v>
      </c>
      <c r="BL73" s="12">
        <f t="shared" si="183"/>
        <v>0</v>
      </c>
      <c r="BM73" s="12">
        <f t="shared" si="183"/>
        <v>0</v>
      </c>
      <c r="BN73" s="12">
        <f t="shared" si="183"/>
        <v>0</v>
      </c>
      <c r="BO73" s="12">
        <f t="shared" si="183"/>
        <v>0</v>
      </c>
      <c r="BP73" s="12">
        <f t="shared" si="183"/>
        <v>0</v>
      </c>
      <c r="BQ73" s="12">
        <f t="shared" si="183"/>
        <v>0</v>
      </c>
      <c r="BR73" s="12">
        <f t="shared" si="183"/>
        <v>0</v>
      </c>
      <c r="BS73" s="12">
        <f t="shared" si="183"/>
        <v>0</v>
      </c>
      <c r="BT73" s="12">
        <f t="shared" si="183"/>
        <v>0</v>
      </c>
      <c r="BU73" s="12">
        <f t="shared" si="183"/>
        <v>0</v>
      </c>
      <c r="BV73" s="12">
        <f t="shared" si="183"/>
        <v>0</v>
      </c>
      <c r="BW73" s="12">
        <f t="shared" si="183"/>
        <v>0</v>
      </c>
      <c r="BX73" s="12">
        <f t="shared" si="183"/>
        <v>0</v>
      </c>
      <c r="BY73" s="12">
        <f t="shared" si="183"/>
        <v>0</v>
      </c>
      <c r="BZ73" s="12">
        <f t="shared" si="183"/>
        <v>0</v>
      </c>
      <c r="CA73" s="12">
        <f t="shared" si="183"/>
        <v>0</v>
      </c>
      <c r="CB73" s="12">
        <f t="shared" si="183"/>
        <v>0</v>
      </c>
      <c r="CC73" s="12">
        <f t="shared" si="183"/>
        <v>0</v>
      </c>
      <c r="CD73" s="12">
        <f t="shared" si="183"/>
        <v>0</v>
      </c>
      <c r="CE73" s="12">
        <f t="shared" si="183"/>
        <v>0</v>
      </c>
      <c r="CF73" s="12">
        <f t="shared" si="183"/>
        <v>0</v>
      </c>
      <c r="CG73" s="12">
        <f t="shared" si="183"/>
        <v>0</v>
      </c>
      <c r="CH73" s="12">
        <f t="shared" si="183"/>
        <v>0</v>
      </c>
      <c r="CI73" s="12">
        <f t="shared" si="183"/>
        <v>0</v>
      </c>
      <c r="CJ73" s="12">
        <f t="shared" si="183"/>
        <v>0</v>
      </c>
      <c r="CK73" s="12">
        <f t="shared" si="183"/>
        <v>0</v>
      </c>
      <c r="CL73" s="12">
        <f t="shared" si="183"/>
        <v>0</v>
      </c>
      <c r="CM73" s="12">
        <f t="shared" si="183"/>
        <v>0</v>
      </c>
      <c r="CN73" s="12">
        <f t="shared" si="183"/>
        <v>0</v>
      </c>
      <c r="CO73" s="12">
        <f t="shared" si="183"/>
        <v>0</v>
      </c>
      <c r="CP73" s="12">
        <f t="shared" si="183"/>
        <v>0</v>
      </c>
      <c r="CQ73" s="12">
        <f t="shared" si="183"/>
        <v>0</v>
      </c>
      <c r="CR73" s="12">
        <f t="shared" si="183"/>
        <v>0</v>
      </c>
      <c r="CS73" s="12">
        <f t="shared" si="183"/>
        <v>0</v>
      </c>
      <c r="CT73" s="12">
        <f t="shared" si="183"/>
        <v>0</v>
      </c>
      <c r="CU73" s="12">
        <f t="shared" si="183"/>
        <v>0</v>
      </c>
      <c r="CV73" s="12">
        <f t="shared" si="183"/>
        <v>0</v>
      </c>
      <c r="CW73" s="12">
        <f t="shared" si="183"/>
        <v>0</v>
      </c>
      <c r="CX73" s="12">
        <f t="shared" si="183"/>
        <v>0</v>
      </c>
      <c r="CY73" s="12">
        <f t="shared" si="183"/>
        <v>0</v>
      </c>
      <c r="CZ73" s="12">
        <f t="shared" ref="CZ73:EJ76" si="184">IFERROR(IF(CZ$38&gt;=$X$10, 0, IF(MOD($AD73+CZ$38, $K73)=0, (($M73-$N73)*$Z$11^CZ$38), 0)), 0)</f>
        <v>0</v>
      </c>
      <c r="DA73" s="12">
        <f t="shared" si="184"/>
        <v>0</v>
      </c>
      <c r="DB73" s="12">
        <f t="shared" si="184"/>
        <v>0</v>
      </c>
      <c r="DC73" s="12">
        <f t="shared" si="184"/>
        <v>0</v>
      </c>
      <c r="DD73" s="12">
        <f t="shared" si="184"/>
        <v>0</v>
      </c>
      <c r="DE73" s="12">
        <f t="shared" si="184"/>
        <v>0</v>
      </c>
      <c r="DF73" s="12">
        <f t="shared" si="184"/>
        <v>0</v>
      </c>
      <c r="DG73" s="12">
        <f t="shared" si="184"/>
        <v>0</v>
      </c>
      <c r="DH73" s="12">
        <f t="shared" si="184"/>
        <v>0</v>
      </c>
      <c r="DI73" s="12">
        <f t="shared" si="184"/>
        <v>0</v>
      </c>
      <c r="DJ73" s="12">
        <f t="shared" si="184"/>
        <v>0</v>
      </c>
      <c r="DK73" s="12">
        <f t="shared" si="184"/>
        <v>0</v>
      </c>
      <c r="DL73" s="12">
        <f t="shared" si="184"/>
        <v>0</v>
      </c>
      <c r="DM73" s="12">
        <f t="shared" si="184"/>
        <v>0</v>
      </c>
      <c r="DN73" s="12">
        <f t="shared" si="184"/>
        <v>0</v>
      </c>
      <c r="DO73" s="12">
        <f t="shared" si="184"/>
        <v>0</v>
      </c>
      <c r="DP73" s="12">
        <f t="shared" si="184"/>
        <v>0</v>
      </c>
      <c r="DQ73" s="12">
        <f t="shared" si="184"/>
        <v>0</v>
      </c>
      <c r="DR73" s="12">
        <f t="shared" si="184"/>
        <v>0</v>
      </c>
      <c r="DS73" s="12">
        <f t="shared" si="184"/>
        <v>0</v>
      </c>
      <c r="DT73" s="12">
        <f t="shared" si="184"/>
        <v>0</v>
      </c>
      <c r="DU73" s="12">
        <f t="shared" si="184"/>
        <v>0</v>
      </c>
      <c r="DV73" s="12">
        <f t="shared" si="184"/>
        <v>0</v>
      </c>
      <c r="DW73" s="12">
        <f t="shared" si="184"/>
        <v>0</v>
      </c>
      <c r="DX73" s="12">
        <f t="shared" si="184"/>
        <v>0</v>
      </c>
      <c r="DY73" s="12">
        <f t="shared" si="184"/>
        <v>0</v>
      </c>
      <c r="DZ73" s="12">
        <f t="shared" si="184"/>
        <v>0</v>
      </c>
      <c r="EA73" s="12">
        <f t="shared" si="184"/>
        <v>0</v>
      </c>
      <c r="EB73" s="12">
        <f t="shared" si="184"/>
        <v>0</v>
      </c>
      <c r="EC73" s="12">
        <f t="shared" si="184"/>
        <v>0</v>
      </c>
      <c r="ED73" s="12">
        <f t="shared" si="184"/>
        <v>0</v>
      </c>
      <c r="EE73" s="12">
        <f t="shared" si="184"/>
        <v>0</v>
      </c>
      <c r="EF73" s="12">
        <f t="shared" si="184"/>
        <v>0</v>
      </c>
      <c r="EG73" s="12">
        <f t="shared" si="184"/>
        <v>0</v>
      </c>
      <c r="EH73" s="12">
        <f t="shared" si="184"/>
        <v>0</v>
      </c>
      <c r="EI73" s="12">
        <f t="shared" si="184"/>
        <v>0</v>
      </c>
      <c r="EJ73" s="12">
        <f t="shared" si="184"/>
        <v>0</v>
      </c>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row>
    <row r="74" spans="1:345" x14ac:dyDescent="0.35">
      <c r="A74" s="132"/>
      <c r="B74" s="27"/>
      <c r="C74" s="170"/>
      <c r="D74" s="170"/>
      <c r="E74" s="103"/>
      <c r="F74" s="105"/>
      <c r="G74" s="36" t="str">
        <f>IFERROR(VLOOKUP(E74, 'General Project Info'!$C$30:$I$40, 7, FALSE), "")</f>
        <v/>
      </c>
      <c r="H74" s="41">
        <f>IFERROR(X74*VLOOKUP(E74, 'General Project Info'!$R$30:$T$40, 3, FALSE), 0)</f>
        <v>0</v>
      </c>
      <c r="I74" s="42">
        <f>IFERROR(IF($T74="Yes", $X74*VLOOKUP($E74, 'General Project Info'!$R$30:$W$40, 5, FALSE), 0), 0)</f>
        <v>0</v>
      </c>
      <c r="J74" s="42">
        <f>IFERROR(IF($T74="No", $X74*VLOOKUP($E74, 'General Project Info'!$R$30:$W$40, 5, FALSE), 0), 0)</f>
        <v>0</v>
      </c>
      <c r="K74" s="108"/>
      <c r="L74" s="108"/>
      <c r="M74" s="109"/>
      <c r="N74" s="109"/>
      <c r="O74" s="109"/>
      <c r="P74" s="43">
        <f t="shared" si="166"/>
        <v>0</v>
      </c>
      <c r="Q74" s="27"/>
      <c r="R74" s="132"/>
      <c r="T74" s="18" t="e">
        <f>VLOOKUP($E74, 'Unit Conversions Array'!$B$4:$Z$23, 25, FALSE)</f>
        <v>#N/A</v>
      </c>
      <c r="U74">
        <f>VLOOKUP(E74, 'General Project Info'!$R$30:$W$40, 6, FALSE)</f>
        <v>1</v>
      </c>
      <c r="V74" s="18">
        <f t="shared" si="167"/>
        <v>0</v>
      </c>
      <c r="W74" s="18">
        <f>IFERROR(F74*INDEX('Unit Conversions Array'!$E$4:$Y$23, MATCH('Scenarios &amp; Measures'!E74, 'Unit Conversions Array'!$B$4:$B$23, 0), MATCH('Scenarios &amp; Measures'!G74, 'Unit Conversions Array'!$E$3:$Y$3, 0)), 0)</f>
        <v>0</v>
      </c>
      <c r="X74" s="19">
        <f t="shared" si="168"/>
        <v>0</v>
      </c>
      <c r="Y74" s="19">
        <f t="shared" si="169"/>
        <v>0</v>
      </c>
      <c r="Z74" s="19">
        <f t="shared" si="170"/>
        <v>0</v>
      </c>
      <c r="AA74" s="17">
        <f t="shared" si="181"/>
        <v>0</v>
      </c>
      <c r="AB74" s="17">
        <f t="shared" si="171"/>
        <v>20</v>
      </c>
      <c r="AC74" s="17">
        <f t="shared" si="172"/>
        <v>-20</v>
      </c>
      <c r="AD74" s="17">
        <f t="shared" si="173"/>
        <v>0</v>
      </c>
      <c r="AE74" s="18">
        <f t="shared" si="174"/>
        <v>0</v>
      </c>
      <c r="AF74" s="19">
        <f t="shared" si="162"/>
        <v>0</v>
      </c>
      <c r="AG74" s="12">
        <f t="shared" si="163"/>
        <v>0</v>
      </c>
      <c r="AH74" s="17">
        <f t="shared" si="175"/>
        <v>0</v>
      </c>
      <c r="AI74" s="23">
        <f>IF($V$10="RECs", -Y74/VLOOKUP("RECs", 'General Project Info'!$R$30:$W$40, 5, FALSE)*$V$11*IF($X$11=$Z$12, $X$10, (1/($Z$12-$X$11))*(1-($X$11/$Z$12)^$X$10)*$Z$12), 0)</f>
        <v>0</v>
      </c>
      <c r="AJ74" s="17">
        <f t="shared" si="176"/>
        <v>0</v>
      </c>
      <c r="AK74" s="17">
        <f t="shared" si="177"/>
        <v>0</v>
      </c>
      <c r="AL74" s="17">
        <f t="shared" si="178"/>
        <v>0</v>
      </c>
      <c r="AN74" s="12">
        <f t="shared" si="179"/>
        <v>0</v>
      </c>
      <c r="AO74" s="12">
        <f t="shared" ref="AO74:CZ77" si="185">IFERROR(IF(AO$38&gt;=$X$10, 0, IF(MOD($AD74+AO$38, $K74)=0, (($M74-$N74)*$Z$11^AO$38), 0)), 0)</f>
        <v>0</v>
      </c>
      <c r="AP74" s="12">
        <f t="shared" si="185"/>
        <v>0</v>
      </c>
      <c r="AQ74" s="12">
        <f t="shared" si="185"/>
        <v>0</v>
      </c>
      <c r="AR74" s="12">
        <f t="shared" si="185"/>
        <v>0</v>
      </c>
      <c r="AS74" s="12">
        <f t="shared" si="185"/>
        <v>0</v>
      </c>
      <c r="AT74" s="12">
        <f t="shared" si="185"/>
        <v>0</v>
      </c>
      <c r="AU74" s="12">
        <f t="shared" si="185"/>
        <v>0</v>
      </c>
      <c r="AV74" s="12">
        <f t="shared" si="185"/>
        <v>0</v>
      </c>
      <c r="AW74" s="12">
        <f t="shared" si="185"/>
        <v>0</v>
      </c>
      <c r="AX74" s="12">
        <f t="shared" si="185"/>
        <v>0</v>
      </c>
      <c r="AY74" s="12">
        <f t="shared" si="185"/>
        <v>0</v>
      </c>
      <c r="AZ74" s="12">
        <f t="shared" si="185"/>
        <v>0</v>
      </c>
      <c r="BA74" s="12">
        <f t="shared" si="185"/>
        <v>0</v>
      </c>
      <c r="BB74" s="12">
        <f t="shared" si="185"/>
        <v>0</v>
      </c>
      <c r="BC74" s="12">
        <f t="shared" si="185"/>
        <v>0</v>
      </c>
      <c r="BD74" s="12">
        <f t="shared" si="185"/>
        <v>0</v>
      </c>
      <c r="BE74" s="12">
        <f t="shared" si="185"/>
        <v>0</v>
      </c>
      <c r="BF74" s="12">
        <f t="shared" si="185"/>
        <v>0</v>
      </c>
      <c r="BG74" s="12">
        <f t="shared" si="185"/>
        <v>0</v>
      </c>
      <c r="BH74" s="12">
        <f t="shared" si="185"/>
        <v>0</v>
      </c>
      <c r="BI74" s="12">
        <f t="shared" si="185"/>
        <v>0</v>
      </c>
      <c r="BJ74" s="12">
        <f t="shared" si="185"/>
        <v>0</v>
      </c>
      <c r="BK74" s="12">
        <f t="shared" si="185"/>
        <v>0</v>
      </c>
      <c r="BL74" s="12">
        <f t="shared" si="185"/>
        <v>0</v>
      </c>
      <c r="BM74" s="12">
        <f t="shared" si="185"/>
        <v>0</v>
      </c>
      <c r="BN74" s="12">
        <f t="shared" si="185"/>
        <v>0</v>
      </c>
      <c r="BO74" s="12">
        <f t="shared" si="185"/>
        <v>0</v>
      </c>
      <c r="BP74" s="12">
        <f t="shared" si="185"/>
        <v>0</v>
      </c>
      <c r="BQ74" s="12">
        <f t="shared" si="185"/>
        <v>0</v>
      </c>
      <c r="BR74" s="12">
        <f t="shared" si="185"/>
        <v>0</v>
      </c>
      <c r="BS74" s="12">
        <f t="shared" si="185"/>
        <v>0</v>
      </c>
      <c r="BT74" s="12">
        <f t="shared" si="185"/>
        <v>0</v>
      </c>
      <c r="BU74" s="12">
        <f t="shared" si="185"/>
        <v>0</v>
      </c>
      <c r="BV74" s="12">
        <f t="shared" si="185"/>
        <v>0</v>
      </c>
      <c r="BW74" s="12">
        <f t="shared" si="185"/>
        <v>0</v>
      </c>
      <c r="BX74" s="12">
        <f t="shared" si="185"/>
        <v>0</v>
      </c>
      <c r="BY74" s="12">
        <f t="shared" si="185"/>
        <v>0</v>
      </c>
      <c r="BZ74" s="12">
        <f t="shared" si="185"/>
        <v>0</v>
      </c>
      <c r="CA74" s="12">
        <f t="shared" si="185"/>
        <v>0</v>
      </c>
      <c r="CB74" s="12">
        <f t="shared" si="185"/>
        <v>0</v>
      </c>
      <c r="CC74" s="12">
        <f t="shared" si="185"/>
        <v>0</v>
      </c>
      <c r="CD74" s="12">
        <f t="shared" si="185"/>
        <v>0</v>
      </c>
      <c r="CE74" s="12">
        <f t="shared" si="185"/>
        <v>0</v>
      </c>
      <c r="CF74" s="12">
        <f t="shared" si="185"/>
        <v>0</v>
      </c>
      <c r="CG74" s="12">
        <f t="shared" si="185"/>
        <v>0</v>
      </c>
      <c r="CH74" s="12">
        <f t="shared" si="185"/>
        <v>0</v>
      </c>
      <c r="CI74" s="12">
        <f t="shared" si="185"/>
        <v>0</v>
      </c>
      <c r="CJ74" s="12">
        <f t="shared" si="185"/>
        <v>0</v>
      </c>
      <c r="CK74" s="12">
        <f t="shared" si="185"/>
        <v>0</v>
      </c>
      <c r="CL74" s="12">
        <f t="shared" si="185"/>
        <v>0</v>
      </c>
      <c r="CM74" s="12">
        <f t="shared" si="185"/>
        <v>0</v>
      </c>
      <c r="CN74" s="12">
        <f t="shared" si="185"/>
        <v>0</v>
      </c>
      <c r="CO74" s="12">
        <f t="shared" si="185"/>
        <v>0</v>
      </c>
      <c r="CP74" s="12">
        <f t="shared" si="185"/>
        <v>0</v>
      </c>
      <c r="CQ74" s="12">
        <f t="shared" si="185"/>
        <v>0</v>
      </c>
      <c r="CR74" s="12">
        <f t="shared" si="185"/>
        <v>0</v>
      </c>
      <c r="CS74" s="12">
        <f t="shared" si="185"/>
        <v>0</v>
      </c>
      <c r="CT74" s="12">
        <f t="shared" si="185"/>
        <v>0</v>
      </c>
      <c r="CU74" s="12">
        <f t="shared" si="185"/>
        <v>0</v>
      </c>
      <c r="CV74" s="12">
        <f t="shared" si="185"/>
        <v>0</v>
      </c>
      <c r="CW74" s="12">
        <f t="shared" si="185"/>
        <v>0</v>
      </c>
      <c r="CX74" s="12">
        <f t="shared" si="185"/>
        <v>0</v>
      </c>
      <c r="CY74" s="12">
        <f t="shared" si="185"/>
        <v>0</v>
      </c>
      <c r="CZ74" s="12">
        <f t="shared" si="185"/>
        <v>0</v>
      </c>
      <c r="DA74" s="12">
        <f t="shared" si="184"/>
        <v>0</v>
      </c>
      <c r="DB74" s="12">
        <f t="shared" si="184"/>
        <v>0</v>
      </c>
      <c r="DC74" s="12">
        <f t="shared" si="184"/>
        <v>0</v>
      </c>
      <c r="DD74" s="12">
        <f t="shared" si="184"/>
        <v>0</v>
      </c>
      <c r="DE74" s="12">
        <f t="shared" si="184"/>
        <v>0</v>
      </c>
      <c r="DF74" s="12">
        <f t="shared" si="184"/>
        <v>0</v>
      </c>
      <c r="DG74" s="12">
        <f t="shared" si="184"/>
        <v>0</v>
      </c>
      <c r="DH74" s="12">
        <f t="shared" si="184"/>
        <v>0</v>
      </c>
      <c r="DI74" s="12">
        <f t="shared" si="184"/>
        <v>0</v>
      </c>
      <c r="DJ74" s="12">
        <f t="shared" si="184"/>
        <v>0</v>
      </c>
      <c r="DK74" s="12">
        <f t="shared" si="184"/>
        <v>0</v>
      </c>
      <c r="DL74" s="12">
        <f t="shared" si="184"/>
        <v>0</v>
      </c>
      <c r="DM74" s="12">
        <f t="shared" si="184"/>
        <v>0</v>
      </c>
      <c r="DN74" s="12">
        <f t="shared" si="184"/>
        <v>0</v>
      </c>
      <c r="DO74" s="12">
        <f t="shared" si="184"/>
        <v>0</v>
      </c>
      <c r="DP74" s="12">
        <f t="shared" si="184"/>
        <v>0</v>
      </c>
      <c r="DQ74" s="12">
        <f t="shared" si="184"/>
        <v>0</v>
      </c>
      <c r="DR74" s="12">
        <f t="shared" si="184"/>
        <v>0</v>
      </c>
      <c r="DS74" s="12">
        <f t="shared" si="184"/>
        <v>0</v>
      </c>
      <c r="DT74" s="12">
        <f t="shared" si="184"/>
        <v>0</v>
      </c>
      <c r="DU74" s="12">
        <f t="shared" si="184"/>
        <v>0</v>
      </c>
      <c r="DV74" s="12">
        <f t="shared" si="184"/>
        <v>0</v>
      </c>
      <c r="DW74" s="12">
        <f t="shared" si="184"/>
        <v>0</v>
      </c>
      <c r="DX74" s="12">
        <f t="shared" si="184"/>
        <v>0</v>
      </c>
      <c r="DY74" s="12">
        <f t="shared" si="184"/>
        <v>0</v>
      </c>
      <c r="DZ74" s="12">
        <f t="shared" si="184"/>
        <v>0</v>
      </c>
      <c r="EA74" s="12">
        <f t="shared" si="184"/>
        <v>0</v>
      </c>
      <c r="EB74" s="12">
        <f t="shared" si="184"/>
        <v>0</v>
      </c>
      <c r="EC74" s="12">
        <f t="shared" si="184"/>
        <v>0</v>
      </c>
      <c r="ED74" s="12">
        <f t="shared" si="184"/>
        <v>0</v>
      </c>
      <c r="EE74" s="12">
        <f t="shared" si="184"/>
        <v>0</v>
      </c>
      <c r="EF74" s="12">
        <f t="shared" si="184"/>
        <v>0</v>
      </c>
      <c r="EG74" s="12">
        <f t="shared" si="184"/>
        <v>0</v>
      </c>
      <c r="EH74" s="12">
        <f t="shared" si="184"/>
        <v>0</v>
      </c>
      <c r="EI74" s="12">
        <f t="shared" si="184"/>
        <v>0</v>
      </c>
      <c r="EJ74" s="12">
        <f t="shared" si="184"/>
        <v>0</v>
      </c>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row>
    <row r="75" spans="1:345" x14ac:dyDescent="0.35">
      <c r="A75" s="132"/>
      <c r="B75" s="27"/>
      <c r="C75" s="170"/>
      <c r="D75" s="170"/>
      <c r="E75" s="103"/>
      <c r="F75" s="105"/>
      <c r="G75" s="36" t="str">
        <f>IFERROR(VLOOKUP(E75, 'General Project Info'!$C$30:$I$40, 7, FALSE), "")</f>
        <v/>
      </c>
      <c r="H75" s="41">
        <f>IFERROR(X75*VLOOKUP(E75, 'General Project Info'!$R$30:$T$40, 3, FALSE), 0)</f>
        <v>0</v>
      </c>
      <c r="I75" s="42">
        <f>IFERROR(IF($T75="Yes", $X75*VLOOKUP($E75, 'General Project Info'!$R$30:$W$40, 5, FALSE), 0), 0)</f>
        <v>0</v>
      </c>
      <c r="J75" s="42">
        <f>IFERROR(IF($T75="No", $X75*VLOOKUP($E75, 'General Project Info'!$R$30:$W$40, 5, FALSE), 0), 0)</f>
        <v>0</v>
      </c>
      <c r="K75" s="108"/>
      <c r="L75" s="108"/>
      <c r="M75" s="109"/>
      <c r="N75" s="109"/>
      <c r="O75" s="109"/>
      <c r="P75" s="43">
        <f t="shared" si="166"/>
        <v>0</v>
      </c>
      <c r="Q75" s="27"/>
      <c r="R75" s="132"/>
      <c r="T75" s="18" t="e">
        <f>VLOOKUP($E75, 'Unit Conversions Array'!$B$4:$Z$23, 25, FALSE)</f>
        <v>#N/A</v>
      </c>
      <c r="U75">
        <f>VLOOKUP(E75, 'General Project Info'!$R$30:$W$40, 6, FALSE)</f>
        <v>1</v>
      </c>
      <c r="V75" s="18">
        <f t="shared" si="167"/>
        <v>0</v>
      </c>
      <c r="W75" s="18">
        <f>IFERROR(F75*INDEX('Unit Conversions Array'!$E$4:$Y$23, MATCH('Scenarios &amp; Measures'!E75, 'Unit Conversions Array'!$B$4:$B$23, 0), MATCH('Scenarios &amp; Measures'!G75, 'Unit Conversions Array'!$E$3:$Y$3, 0)), 0)</f>
        <v>0</v>
      </c>
      <c r="X75" s="19">
        <f t="shared" si="168"/>
        <v>0</v>
      </c>
      <c r="Y75" s="19">
        <f t="shared" si="169"/>
        <v>0</v>
      </c>
      <c r="Z75" s="19">
        <f t="shared" si="170"/>
        <v>0</v>
      </c>
      <c r="AA75" s="17">
        <f t="shared" si="181"/>
        <v>0</v>
      </c>
      <c r="AB75" s="17">
        <f t="shared" si="171"/>
        <v>20</v>
      </c>
      <c r="AC75" s="17">
        <f t="shared" si="172"/>
        <v>-20</v>
      </c>
      <c r="AD75" s="17">
        <f t="shared" si="173"/>
        <v>0</v>
      </c>
      <c r="AE75" s="18">
        <f t="shared" si="174"/>
        <v>0</v>
      </c>
      <c r="AF75" s="19">
        <f t="shared" si="162"/>
        <v>0</v>
      </c>
      <c r="AG75" s="12">
        <f t="shared" si="163"/>
        <v>0</v>
      </c>
      <c r="AH75" s="17">
        <f t="shared" si="175"/>
        <v>0</v>
      </c>
      <c r="AI75" s="23">
        <f>IF($V$10="RECs", -Y75/VLOOKUP("RECs", 'General Project Info'!$R$30:$W$40, 5, FALSE)*$V$11*IF($X$11=$Z$12, $X$10, (1/($Z$12-$X$11))*(1-($X$11/$Z$12)^$X$10)*$Z$12), 0)</f>
        <v>0</v>
      </c>
      <c r="AJ75" s="17">
        <f t="shared" si="176"/>
        <v>0</v>
      </c>
      <c r="AK75" s="17">
        <f t="shared" si="177"/>
        <v>0</v>
      </c>
      <c r="AL75" s="17">
        <f t="shared" si="178"/>
        <v>0</v>
      </c>
      <c r="AN75" s="12">
        <f t="shared" si="179"/>
        <v>0</v>
      </c>
      <c r="AO75" s="12">
        <f t="shared" si="185"/>
        <v>0</v>
      </c>
      <c r="AP75" s="12">
        <f t="shared" si="185"/>
        <v>0</v>
      </c>
      <c r="AQ75" s="12">
        <f t="shared" si="185"/>
        <v>0</v>
      </c>
      <c r="AR75" s="12">
        <f t="shared" si="185"/>
        <v>0</v>
      </c>
      <c r="AS75" s="12">
        <f t="shared" si="185"/>
        <v>0</v>
      </c>
      <c r="AT75" s="12">
        <f t="shared" si="185"/>
        <v>0</v>
      </c>
      <c r="AU75" s="12">
        <f t="shared" si="185"/>
        <v>0</v>
      </c>
      <c r="AV75" s="12">
        <f t="shared" si="185"/>
        <v>0</v>
      </c>
      <c r="AW75" s="12">
        <f t="shared" si="185"/>
        <v>0</v>
      </c>
      <c r="AX75" s="12">
        <f t="shared" si="185"/>
        <v>0</v>
      </c>
      <c r="AY75" s="12">
        <f t="shared" si="185"/>
        <v>0</v>
      </c>
      <c r="AZ75" s="12">
        <f t="shared" si="185"/>
        <v>0</v>
      </c>
      <c r="BA75" s="12">
        <f t="shared" si="185"/>
        <v>0</v>
      </c>
      <c r="BB75" s="12">
        <f t="shared" si="185"/>
        <v>0</v>
      </c>
      <c r="BC75" s="12">
        <f t="shared" si="185"/>
        <v>0</v>
      </c>
      <c r="BD75" s="12">
        <f t="shared" si="185"/>
        <v>0</v>
      </c>
      <c r="BE75" s="12">
        <f t="shared" si="185"/>
        <v>0</v>
      </c>
      <c r="BF75" s="12">
        <f t="shared" si="185"/>
        <v>0</v>
      </c>
      <c r="BG75" s="12">
        <f t="shared" si="185"/>
        <v>0</v>
      </c>
      <c r="BH75" s="12">
        <f t="shared" si="185"/>
        <v>0</v>
      </c>
      <c r="BI75" s="12">
        <f t="shared" si="185"/>
        <v>0</v>
      </c>
      <c r="BJ75" s="12">
        <f t="shared" si="185"/>
        <v>0</v>
      </c>
      <c r="BK75" s="12">
        <f t="shared" si="185"/>
        <v>0</v>
      </c>
      <c r="BL75" s="12">
        <f t="shared" si="185"/>
        <v>0</v>
      </c>
      <c r="BM75" s="12">
        <f t="shared" si="185"/>
        <v>0</v>
      </c>
      <c r="BN75" s="12">
        <f t="shared" si="185"/>
        <v>0</v>
      </c>
      <c r="BO75" s="12">
        <f t="shared" si="185"/>
        <v>0</v>
      </c>
      <c r="BP75" s="12">
        <f t="shared" si="185"/>
        <v>0</v>
      </c>
      <c r="BQ75" s="12">
        <f t="shared" si="185"/>
        <v>0</v>
      </c>
      <c r="BR75" s="12">
        <f t="shared" si="185"/>
        <v>0</v>
      </c>
      <c r="BS75" s="12">
        <f t="shared" si="185"/>
        <v>0</v>
      </c>
      <c r="BT75" s="12">
        <f t="shared" si="185"/>
        <v>0</v>
      </c>
      <c r="BU75" s="12">
        <f t="shared" si="185"/>
        <v>0</v>
      </c>
      <c r="BV75" s="12">
        <f t="shared" si="185"/>
        <v>0</v>
      </c>
      <c r="BW75" s="12">
        <f t="shared" si="185"/>
        <v>0</v>
      </c>
      <c r="BX75" s="12">
        <f t="shared" si="185"/>
        <v>0</v>
      </c>
      <c r="BY75" s="12">
        <f t="shared" si="185"/>
        <v>0</v>
      </c>
      <c r="BZ75" s="12">
        <f t="shared" si="185"/>
        <v>0</v>
      </c>
      <c r="CA75" s="12">
        <f t="shared" si="185"/>
        <v>0</v>
      </c>
      <c r="CB75" s="12">
        <f t="shared" si="185"/>
        <v>0</v>
      </c>
      <c r="CC75" s="12">
        <f t="shared" si="185"/>
        <v>0</v>
      </c>
      <c r="CD75" s="12">
        <f t="shared" si="185"/>
        <v>0</v>
      </c>
      <c r="CE75" s="12">
        <f t="shared" si="185"/>
        <v>0</v>
      </c>
      <c r="CF75" s="12">
        <f t="shared" si="185"/>
        <v>0</v>
      </c>
      <c r="CG75" s="12">
        <f t="shared" si="185"/>
        <v>0</v>
      </c>
      <c r="CH75" s="12">
        <f t="shared" si="185"/>
        <v>0</v>
      </c>
      <c r="CI75" s="12">
        <f t="shared" si="185"/>
        <v>0</v>
      </c>
      <c r="CJ75" s="12">
        <f t="shared" si="185"/>
        <v>0</v>
      </c>
      <c r="CK75" s="12">
        <f t="shared" si="185"/>
        <v>0</v>
      </c>
      <c r="CL75" s="12">
        <f t="shared" si="185"/>
        <v>0</v>
      </c>
      <c r="CM75" s="12">
        <f t="shared" si="185"/>
        <v>0</v>
      </c>
      <c r="CN75" s="12">
        <f t="shared" si="185"/>
        <v>0</v>
      </c>
      <c r="CO75" s="12">
        <f t="shared" si="185"/>
        <v>0</v>
      </c>
      <c r="CP75" s="12">
        <f t="shared" si="185"/>
        <v>0</v>
      </c>
      <c r="CQ75" s="12">
        <f t="shared" si="185"/>
        <v>0</v>
      </c>
      <c r="CR75" s="12">
        <f t="shared" si="185"/>
        <v>0</v>
      </c>
      <c r="CS75" s="12">
        <f t="shared" si="185"/>
        <v>0</v>
      </c>
      <c r="CT75" s="12">
        <f t="shared" si="185"/>
        <v>0</v>
      </c>
      <c r="CU75" s="12">
        <f t="shared" si="185"/>
        <v>0</v>
      </c>
      <c r="CV75" s="12">
        <f t="shared" si="185"/>
        <v>0</v>
      </c>
      <c r="CW75" s="12">
        <f t="shared" si="185"/>
        <v>0</v>
      </c>
      <c r="CX75" s="12">
        <f t="shared" si="185"/>
        <v>0</v>
      </c>
      <c r="CY75" s="12">
        <f t="shared" si="185"/>
        <v>0</v>
      </c>
      <c r="CZ75" s="12">
        <f t="shared" si="185"/>
        <v>0</v>
      </c>
      <c r="DA75" s="12">
        <f t="shared" si="184"/>
        <v>0</v>
      </c>
      <c r="DB75" s="12">
        <f t="shared" si="184"/>
        <v>0</v>
      </c>
      <c r="DC75" s="12">
        <f t="shared" si="184"/>
        <v>0</v>
      </c>
      <c r="DD75" s="12">
        <f t="shared" si="184"/>
        <v>0</v>
      </c>
      <c r="DE75" s="12">
        <f t="shared" si="184"/>
        <v>0</v>
      </c>
      <c r="DF75" s="12">
        <f t="shared" si="184"/>
        <v>0</v>
      </c>
      <c r="DG75" s="12">
        <f t="shared" si="184"/>
        <v>0</v>
      </c>
      <c r="DH75" s="12">
        <f t="shared" si="184"/>
        <v>0</v>
      </c>
      <c r="DI75" s="12">
        <f t="shared" si="184"/>
        <v>0</v>
      </c>
      <c r="DJ75" s="12">
        <f t="shared" si="184"/>
        <v>0</v>
      </c>
      <c r="DK75" s="12">
        <f t="shared" si="184"/>
        <v>0</v>
      </c>
      <c r="DL75" s="12">
        <f t="shared" si="184"/>
        <v>0</v>
      </c>
      <c r="DM75" s="12">
        <f t="shared" si="184"/>
        <v>0</v>
      </c>
      <c r="DN75" s="12">
        <f t="shared" si="184"/>
        <v>0</v>
      </c>
      <c r="DO75" s="12">
        <f t="shared" si="184"/>
        <v>0</v>
      </c>
      <c r="DP75" s="12">
        <f t="shared" si="184"/>
        <v>0</v>
      </c>
      <c r="DQ75" s="12">
        <f t="shared" si="184"/>
        <v>0</v>
      </c>
      <c r="DR75" s="12">
        <f t="shared" si="184"/>
        <v>0</v>
      </c>
      <c r="DS75" s="12">
        <f t="shared" si="184"/>
        <v>0</v>
      </c>
      <c r="DT75" s="12">
        <f t="shared" si="184"/>
        <v>0</v>
      </c>
      <c r="DU75" s="12">
        <f t="shared" si="184"/>
        <v>0</v>
      </c>
      <c r="DV75" s="12">
        <f t="shared" si="184"/>
        <v>0</v>
      </c>
      <c r="DW75" s="12">
        <f t="shared" si="184"/>
        <v>0</v>
      </c>
      <c r="DX75" s="12">
        <f t="shared" si="184"/>
        <v>0</v>
      </c>
      <c r="DY75" s="12">
        <f t="shared" si="184"/>
        <v>0</v>
      </c>
      <c r="DZ75" s="12">
        <f t="shared" si="184"/>
        <v>0</v>
      </c>
      <c r="EA75" s="12">
        <f t="shared" si="184"/>
        <v>0</v>
      </c>
      <c r="EB75" s="12">
        <f t="shared" si="184"/>
        <v>0</v>
      </c>
      <c r="EC75" s="12">
        <f t="shared" si="184"/>
        <v>0</v>
      </c>
      <c r="ED75" s="12">
        <f t="shared" si="184"/>
        <v>0</v>
      </c>
      <c r="EE75" s="12">
        <f t="shared" si="184"/>
        <v>0</v>
      </c>
      <c r="EF75" s="12">
        <f t="shared" si="184"/>
        <v>0</v>
      </c>
      <c r="EG75" s="12">
        <f t="shared" si="184"/>
        <v>0</v>
      </c>
      <c r="EH75" s="12">
        <f t="shared" si="184"/>
        <v>0</v>
      </c>
      <c r="EI75" s="12">
        <f t="shared" si="184"/>
        <v>0</v>
      </c>
      <c r="EJ75" s="12">
        <f t="shared" si="184"/>
        <v>0</v>
      </c>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row>
    <row r="76" spans="1:345" x14ac:dyDescent="0.35">
      <c r="A76" s="132"/>
      <c r="B76" s="27"/>
      <c r="C76" s="170"/>
      <c r="D76" s="170"/>
      <c r="E76" s="103"/>
      <c r="F76" s="105"/>
      <c r="G76" s="36" t="str">
        <f>IFERROR(VLOOKUP(E76, 'General Project Info'!$C$30:$I$40, 7, FALSE), "")</f>
        <v/>
      </c>
      <c r="H76" s="41">
        <f>IFERROR(X76*VLOOKUP(E76, 'General Project Info'!$R$30:$T$40, 3, FALSE), 0)</f>
        <v>0</v>
      </c>
      <c r="I76" s="42">
        <f>IFERROR(IF($T76="Yes", $X76*VLOOKUP($E76, 'General Project Info'!$R$30:$W$40, 5, FALSE), 0), 0)</f>
        <v>0</v>
      </c>
      <c r="J76" s="42">
        <f>IFERROR(IF($T76="No", $X76*VLOOKUP($E76, 'General Project Info'!$R$30:$W$40, 5, FALSE), 0), 0)</f>
        <v>0</v>
      </c>
      <c r="K76" s="108"/>
      <c r="L76" s="108"/>
      <c r="M76" s="109"/>
      <c r="N76" s="109"/>
      <c r="O76" s="109"/>
      <c r="P76" s="43">
        <f t="shared" si="166"/>
        <v>0</v>
      </c>
      <c r="Q76" s="27"/>
      <c r="R76" s="132"/>
      <c r="T76" s="18" t="e">
        <f>VLOOKUP($E76, 'Unit Conversions Array'!$B$4:$Z$23, 25, FALSE)</f>
        <v>#N/A</v>
      </c>
      <c r="U76">
        <f>VLOOKUP(E76, 'General Project Info'!$R$30:$W$40, 6, FALSE)</f>
        <v>1</v>
      </c>
      <c r="V76" s="18">
        <f t="shared" si="167"/>
        <v>0</v>
      </c>
      <c r="W76" s="18">
        <f>IFERROR(F76*INDEX('Unit Conversions Array'!$E$4:$Y$23, MATCH('Scenarios &amp; Measures'!E76, 'Unit Conversions Array'!$B$4:$B$23, 0), MATCH('Scenarios &amp; Measures'!G76, 'Unit Conversions Array'!$E$3:$Y$3, 0)), 0)</f>
        <v>0</v>
      </c>
      <c r="X76" s="19">
        <f t="shared" si="168"/>
        <v>0</v>
      </c>
      <c r="Y76" s="19">
        <f t="shared" si="169"/>
        <v>0</v>
      </c>
      <c r="Z76" s="19">
        <f t="shared" si="170"/>
        <v>0</v>
      </c>
      <c r="AA76" s="17">
        <f t="shared" si="181"/>
        <v>0</v>
      </c>
      <c r="AB76" s="17">
        <f t="shared" si="171"/>
        <v>20</v>
      </c>
      <c r="AC76" s="17">
        <f t="shared" si="172"/>
        <v>-20</v>
      </c>
      <c r="AD76" s="17">
        <f t="shared" si="173"/>
        <v>0</v>
      </c>
      <c r="AE76" s="18">
        <f t="shared" si="174"/>
        <v>0</v>
      </c>
      <c r="AF76" s="19">
        <f t="shared" si="162"/>
        <v>0</v>
      </c>
      <c r="AG76" s="12">
        <f t="shared" si="163"/>
        <v>0</v>
      </c>
      <c r="AH76" s="17">
        <f t="shared" si="175"/>
        <v>0</v>
      </c>
      <c r="AI76" s="23">
        <f>IF($V$10="RECs", -Y76/VLOOKUP("RECs", 'General Project Info'!$R$30:$W$40, 5, FALSE)*$V$11*IF($X$11=$Z$12, $X$10, (1/($Z$12-$X$11))*(1-($X$11/$Z$12)^$X$10)*$Z$12), 0)</f>
        <v>0</v>
      </c>
      <c r="AJ76" s="17">
        <f t="shared" si="176"/>
        <v>0</v>
      </c>
      <c r="AK76" s="17">
        <f t="shared" si="177"/>
        <v>0</v>
      </c>
      <c r="AL76" s="17">
        <f t="shared" si="178"/>
        <v>0</v>
      </c>
      <c r="AN76" s="12">
        <f t="shared" si="179"/>
        <v>0</v>
      </c>
      <c r="AO76" s="12">
        <f t="shared" si="185"/>
        <v>0</v>
      </c>
      <c r="AP76" s="12">
        <f t="shared" si="185"/>
        <v>0</v>
      </c>
      <c r="AQ76" s="12">
        <f t="shared" si="185"/>
        <v>0</v>
      </c>
      <c r="AR76" s="12">
        <f t="shared" si="185"/>
        <v>0</v>
      </c>
      <c r="AS76" s="12">
        <f t="shared" si="185"/>
        <v>0</v>
      </c>
      <c r="AT76" s="12">
        <f t="shared" si="185"/>
        <v>0</v>
      </c>
      <c r="AU76" s="12">
        <f t="shared" si="185"/>
        <v>0</v>
      </c>
      <c r="AV76" s="12">
        <f t="shared" si="185"/>
        <v>0</v>
      </c>
      <c r="AW76" s="12">
        <f t="shared" si="185"/>
        <v>0</v>
      </c>
      <c r="AX76" s="12">
        <f t="shared" si="185"/>
        <v>0</v>
      </c>
      <c r="AY76" s="12">
        <f t="shared" si="185"/>
        <v>0</v>
      </c>
      <c r="AZ76" s="12">
        <f t="shared" si="185"/>
        <v>0</v>
      </c>
      <c r="BA76" s="12">
        <f t="shared" si="185"/>
        <v>0</v>
      </c>
      <c r="BB76" s="12">
        <f t="shared" si="185"/>
        <v>0</v>
      </c>
      <c r="BC76" s="12">
        <f t="shared" si="185"/>
        <v>0</v>
      </c>
      <c r="BD76" s="12">
        <f t="shared" si="185"/>
        <v>0</v>
      </c>
      <c r="BE76" s="12">
        <f t="shared" si="185"/>
        <v>0</v>
      </c>
      <c r="BF76" s="12">
        <f t="shared" si="185"/>
        <v>0</v>
      </c>
      <c r="BG76" s="12">
        <f t="shared" si="185"/>
        <v>0</v>
      </c>
      <c r="BH76" s="12">
        <f t="shared" si="185"/>
        <v>0</v>
      </c>
      <c r="BI76" s="12">
        <f t="shared" si="185"/>
        <v>0</v>
      </c>
      <c r="BJ76" s="12">
        <f t="shared" si="185"/>
        <v>0</v>
      </c>
      <c r="BK76" s="12">
        <f t="shared" si="185"/>
        <v>0</v>
      </c>
      <c r="BL76" s="12">
        <f t="shared" si="185"/>
        <v>0</v>
      </c>
      <c r="BM76" s="12">
        <f t="shared" si="185"/>
        <v>0</v>
      </c>
      <c r="BN76" s="12">
        <f t="shared" si="185"/>
        <v>0</v>
      </c>
      <c r="BO76" s="12">
        <f t="shared" si="185"/>
        <v>0</v>
      </c>
      <c r="BP76" s="12">
        <f t="shared" si="185"/>
        <v>0</v>
      </c>
      <c r="BQ76" s="12">
        <f t="shared" si="185"/>
        <v>0</v>
      </c>
      <c r="BR76" s="12">
        <f t="shared" si="185"/>
        <v>0</v>
      </c>
      <c r="BS76" s="12">
        <f t="shared" si="185"/>
        <v>0</v>
      </c>
      <c r="BT76" s="12">
        <f t="shared" si="185"/>
        <v>0</v>
      </c>
      <c r="BU76" s="12">
        <f t="shared" si="185"/>
        <v>0</v>
      </c>
      <c r="BV76" s="12">
        <f t="shared" si="185"/>
        <v>0</v>
      </c>
      <c r="BW76" s="12">
        <f t="shared" si="185"/>
        <v>0</v>
      </c>
      <c r="BX76" s="12">
        <f t="shared" si="185"/>
        <v>0</v>
      </c>
      <c r="BY76" s="12">
        <f t="shared" si="185"/>
        <v>0</v>
      </c>
      <c r="BZ76" s="12">
        <f t="shared" si="185"/>
        <v>0</v>
      </c>
      <c r="CA76" s="12">
        <f t="shared" si="185"/>
        <v>0</v>
      </c>
      <c r="CB76" s="12">
        <f t="shared" si="185"/>
        <v>0</v>
      </c>
      <c r="CC76" s="12">
        <f t="shared" si="185"/>
        <v>0</v>
      </c>
      <c r="CD76" s="12">
        <f t="shared" si="185"/>
        <v>0</v>
      </c>
      <c r="CE76" s="12">
        <f t="shared" si="185"/>
        <v>0</v>
      </c>
      <c r="CF76" s="12">
        <f t="shared" si="185"/>
        <v>0</v>
      </c>
      <c r="CG76" s="12">
        <f t="shared" si="185"/>
        <v>0</v>
      </c>
      <c r="CH76" s="12">
        <f t="shared" si="185"/>
        <v>0</v>
      </c>
      <c r="CI76" s="12">
        <f t="shared" si="185"/>
        <v>0</v>
      </c>
      <c r="CJ76" s="12">
        <f t="shared" si="185"/>
        <v>0</v>
      </c>
      <c r="CK76" s="12">
        <f t="shared" si="185"/>
        <v>0</v>
      </c>
      <c r="CL76" s="12">
        <f t="shared" si="185"/>
        <v>0</v>
      </c>
      <c r="CM76" s="12">
        <f t="shared" si="185"/>
        <v>0</v>
      </c>
      <c r="CN76" s="12">
        <f t="shared" si="185"/>
        <v>0</v>
      </c>
      <c r="CO76" s="12">
        <f t="shared" si="185"/>
        <v>0</v>
      </c>
      <c r="CP76" s="12">
        <f t="shared" si="185"/>
        <v>0</v>
      </c>
      <c r="CQ76" s="12">
        <f t="shared" si="185"/>
        <v>0</v>
      </c>
      <c r="CR76" s="12">
        <f t="shared" si="185"/>
        <v>0</v>
      </c>
      <c r="CS76" s="12">
        <f t="shared" si="185"/>
        <v>0</v>
      </c>
      <c r="CT76" s="12">
        <f t="shared" si="185"/>
        <v>0</v>
      </c>
      <c r="CU76" s="12">
        <f t="shared" si="185"/>
        <v>0</v>
      </c>
      <c r="CV76" s="12">
        <f t="shared" si="185"/>
        <v>0</v>
      </c>
      <c r="CW76" s="12">
        <f t="shared" si="185"/>
        <v>0</v>
      </c>
      <c r="CX76" s="12">
        <f t="shared" si="185"/>
        <v>0</v>
      </c>
      <c r="CY76" s="12">
        <f t="shared" si="185"/>
        <v>0</v>
      </c>
      <c r="CZ76" s="12">
        <f t="shared" si="185"/>
        <v>0</v>
      </c>
      <c r="DA76" s="12">
        <f t="shared" si="184"/>
        <v>0</v>
      </c>
      <c r="DB76" s="12">
        <f t="shared" si="184"/>
        <v>0</v>
      </c>
      <c r="DC76" s="12">
        <f t="shared" si="184"/>
        <v>0</v>
      </c>
      <c r="DD76" s="12">
        <f t="shared" si="184"/>
        <v>0</v>
      </c>
      <c r="DE76" s="12">
        <f t="shared" si="184"/>
        <v>0</v>
      </c>
      <c r="DF76" s="12">
        <f t="shared" si="184"/>
        <v>0</v>
      </c>
      <c r="DG76" s="12">
        <f t="shared" si="184"/>
        <v>0</v>
      </c>
      <c r="DH76" s="12">
        <f t="shared" si="184"/>
        <v>0</v>
      </c>
      <c r="DI76" s="12">
        <f t="shared" si="184"/>
        <v>0</v>
      </c>
      <c r="DJ76" s="12">
        <f t="shared" si="184"/>
        <v>0</v>
      </c>
      <c r="DK76" s="12">
        <f t="shared" si="184"/>
        <v>0</v>
      </c>
      <c r="DL76" s="12">
        <f t="shared" si="184"/>
        <v>0</v>
      </c>
      <c r="DM76" s="12">
        <f t="shared" si="184"/>
        <v>0</v>
      </c>
      <c r="DN76" s="12">
        <f t="shared" si="184"/>
        <v>0</v>
      </c>
      <c r="DO76" s="12">
        <f t="shared" si="184"/>
        <v>0</v>
      </c>
      <c r="DP76" s="12">
        <f t="shared" si="184"/>
        <v>0</v>
      </c>
      <c r="DQ76" s="12">
        <f t="shared" si="184"/>
        <v>0</v>
      </c>
      <c r="DR76" s="12">
        <f t="shared" si="184"/>
        <v>0</v>
      </c>
      <c r="DS76" s="12">
        <f t="shared" si="184"/>
        <v>0</v>
      </c>
      <c r="DT76" s="12">
        <f t="shared" si="184"/>
        <v>0</v>
      </c>
      <c r="DU76" s="12">
        <f t="shared" si="184"/>
        <v>0</v>
      </c>
      <c r="DV76" s="12">
        <f t="shared" si="184"/>
        <v>0</v>
      </c>
      <c r="DW76" s="12">
        <f t="shared" si="184"/>
        <v>0</v>
      </c>
      <c r="DX76" s="12">
        <f t="shared" si="184"/>
        <v>0</v>
      </c>
      <c r="DY76" s="12">
        <f t="shared" si="184"/>
        <v>0</v>
      </c>
      <c r="DZ76" s="12">
        <f t="shared" si="184"/>
        <v>0</v>
      </c>
      <c r="EA76" s="12">
        <f t="shared" si="184"/>
        <v>0</v>
      </c>
      <c r="EB76" s="12">
        <f t="shared" si="184"/>
        <v>0</v>
      </c>
      <c r="EC76" s="12">
        <f t="shared" si="184"/>
        <v>0</v>
      </c>
      <c r="ED76" s="12">
        <f t="shared" si="184"/>
        <v>0</v>
      </c>
      <c r="EE76" s="12">
        <f t="shared" si="184"/>
        <v>0</v>
      </c>
      <c r="EF76" s="12">
        <f t="shared" si="184"/>
        <v>0</v>
      </c>
      <c r="EG76" s="12">
        <f t="shared" si="184"/>
        <v>0</v>
      </c>
      <c r="EH76" s="12">
        <f t="shared" si="184"/>
        <v>0</v>
      </c>
      <c r="EI76" s="12">
        <f t="shared" si="184"/>
        <v>0</v>
      </c>
      <c r="EJ76" s="12">
        <f t="shared" si="184"/>
        <v>0</v>
      </c>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row>
    <row r="77" spans="1:345" x14ac:dyDescent="0.35">
      <c r="A77" s="132"/>
      <c r="B77" s="27"/>
      <c r="C77" s="170"/>
      <c r="D77" s="170"/>
      <c r="E77" s="103"/>
      <c r="F77" s="105"/>
      <c r="G77" s="36" t="str">
        <f>IFERROR(VLOOKUP(E77, 'General Project Info'!$C$30:$I$40, 7, FALSE), "")</f>
        <v/>
      </c>
      <c r="H77" s="41">
        <f>IFERROR(X77*VLOOKUP(E77, 'General Project Info'!$R$30:$T$40, 3, FALSE), 0)</f>
        <v>0</v>
      </c>
      <c r="I77" s="42">
        <f>IFERROR(IF($T77="Yes", $X77*VLOOKUP($E77, 'General Project Info'!$R$30:$W$40, 5, FALSE), 0), 0)</f>
        <v>0</v>
      </c>
      <c r="J77" s="42">
        <f>IFERROR(IF($T77="No", $X77*VLOOKUP($E77, 'General Project Info'!$R$30:$W$40, 5, FALSE), 0), 0)</f>
        <v>0</v>
      </c>
      <c r="K77" s="108"/>
      <c r="L77" s="108"/>
      <c r="M77" s="109"/>
      <c r="N77" s="109"/>
      <c r="O77" s="109"/>
      <c r="P77" s="43">
        <f t="shared" si="166"/>
        <v>0</v>
      </c>
      <c r="Q77" s="27"/>
      <c r="R77" s="132"/>
      <c r="T77" s="18" t="e">
        <f>VLOOKUP($E77, 'Unit Conversions Array'!$B$4:$Z$23, 25, FALSE)</f>
        <v>#N/A</v>
      </c>
      <c r="U77">
        <f>VLOOKUP(E77, 'General Project Info'!$R$30:$W$40, 6, FALSE)</f>
        <v>1</v>
      </c>
      <c r="V77" s="18">
        <f t="shared" si="167"/>
        <v>0</v>
      </c>
      <c r="W77" s="18">
        <f>IFERROR(F77*INDEX('Unit Conversions Array'!$E$4:$Y$23, MATCH('Scenarios &amp; Measures'!E77, 'Unit Conversions Array'!$B$4:$B$23, 0), MATCH('Scenarios &amp; Measures'!G77, 'Unit Conversions Array'!$E$3:$Y$3, 0)), 0)</f>
        <v>0</v>
      </c>
      <c r="X77" s="19">
        <f t="shared" si="168"/>
        <v>0</v>
      </c>
      <c r="Y77" s="19">
        <f t="shared" si="169"/>
        <v>0</v>
      </c>
      <c r="Z77" s="19">
        <f t="shared" si="170"/>
        <v>0</v>
      </c>
      <c r="AA77" s="17">
        <f t="shared" si="181"/>
        <v>0</v>
      </c>
      <c r="AB77" s="17">
        <f t="shared" si="171"/>
        <v>20</v>
      </c>
      <c r="AC77" s="17">
        <f t="shared" si="172"/>
        <v>-20</v>
      </c>
      <c r="AD77" s="17">
        <f t="shared" si="173"/>
        <v>0</v>
      </c>
      <c r="AE77" s="18">
        <f t="shared" si="174"/>
        <v>0</v>
      </c>
      <c r="AF77" s="19">
        <f t="shared" si="162"/>
        <v>0</v>
      </c>
      <c r="AG77" s="12">
        <f t="shared" si="163"/>
        <v>0</v>
      </c>
      <c r="AH77" s="17">
        <f t="shared" si="175"/>
        <v>0</v>
      </c>
      <c r="AI77" s="23">
        <f>IF($V$10="RECs", -Y77/VLOOKUP("RECs", 'General Project Info'!$R$30:$W$40, 5, FALSE)*$V$11*IF($X$11=$Z$12, $X$10, (1/($Z$12-$X$11))*(1-($X$11/$Z$12)^$X$10)*$Z$12), 0)</f>
        <v>0</v>
      </c>
      <c r="AJ77" s="17">
        <f t="shared" si="176"/>
        <v>0</v>
      </c>
      <c r="AK77" s="17">
        <f t="shared" si="177"/>
        <v>0</v>
      </c>
      <c r="AL77" s="17">
        <f t="shared" si="178"/>
        <v>0</v>
      </c>
      <c r="AN77" s="12">
        <f t="shared" si="179"/>
        <v>0</v>
      </c>
      <c r="AO77" s="12">
        <f t="shared" si="185"/>
        <v>0</v>
      </c>
      <c r="AP77" s="12">
        <f t="shared" si="185"/>
        <v>0</v>
      </c>
      <c r="AQ77" s="12">
        <f t="shared" si="185"/>
        <v>0</v>
      </c>
      <c r="AR77" s="12">
        <f t="shared" si="185"/>
        <v>0</v>
      </c>
      <c r="AS77" s="12">
        <f t="shared" si="185"/>
        <v>0</v>
      </c>
      <c r="AT77" s="12">
        <f t="shared" si="185"/>
        <v>0</v>
      </c>
      <c r="AU77" s="12">
        <f t="shared" si="185"/>
        <v>0</v>
      </c>
      <c r="AV77" s="12">
        <f t="shared" si="185"/>
        <v>0</v>
      </c>
      <c r="AW77" s="12">
        <f t="shared" si="185"/>
        <v>0</v>
      </c>
      <c r="AX77" s="12">
        <f t="shared" si="185"/>
        <v>0</v>
      </c>
      <c r="AY77" s="12">
        <f t="shared" si="185"/>
        <v>0</v>
      </c>
      <c r="AZ77" s="12">
        <f t="shared" si="185"/>
        <v>0</v>
      </c>
      <c r="BA77" s="12">
        <f t="shared" si="185"/>
        <v>0</v>
      </c>
      <c r="BB77" s="12">
        <f t="shared" si="185"/>
        <v>0</v>
      </c>
      <c r="BC77" s="12">
        <f t="shared" si="185"/>
        <v>0</v>
      </c>
      <c r="BD77" s="12">
        <f t="shared" si="185"/>
        <v>0</v>
      </c>
      <c r="BE77" s="12">
        <f t="shared" si="185"/>
        <v>0</v>
      </c>
      <c r="BF77" s="12">
        <f t="shared" si="185"/>
        <v>0</v>
      </c>
      <c r="BG77" s="12">
        <f t="shared" si="185"/>
        <v>0</v>
      </c>
      <c r="BH77" s="12">
        <f t="shared" si="185"/>
        <v>0</v>
      </c>
      <c r="BI77" s="12">
        <f t="shared" si="185"/>
        <v>0</v>
      </c>
      <c r="BJ77" s="12">
        <f t="shared" si="185"/>
        <v>0</v>
      </c>
      <c r="BK77" s="12">
        <f t="shared" si="185"/>
        <v>0</v>
      </c>
      <c r="BL77" s="12">
        <f t="shared" si="185"/>
        <v>0</v>
      </c>
      <c r="BM77" s="12">
        <f t="shared" si="185"/>
        <v>0</v>
      </c>
      <c r="BN77" s="12">
        <f t="shared" si="185"/>
        <v>0</v>
      </c>
      <c r="BO77" s="12">
        <f t="shared" si="185"/>
        <v>0</v>
      </c>
      <c r="BP77" s="12">
        <f t="shared" si="185"/>
        <v>0</v>
      </c>
      <c r="BQ77" s="12">
        <f t="shared" si="185"/>
        <v>0</v>
      </c>
      <c r="BR77" s="12">
        <f t="shared" si="185"/>
        <v>0</v>
      </c>
      <c r="BS77" s="12">
        <f t="shared" si="185"/>
        <v>0</v>
      </c>
      <c r="BT77" s="12">
        <f t="shared" si="185"/>
        <v>0</v>
      </c>
      <c r="BU77" s="12">
        <f t="shared" si="185"/>
        <v>0</v>
      </c>
      <c r="BV77" s="12">
        <f t="shared" si="185"/>
        <v>0</v>
      </c>
      <c r="BW77" s="12">
        <f t="shared" si="185"/>
        <v>0</v>
      </c>
      <c r="BX77" s="12">
        <f t="shared" si="185"/>
        <v>0</v>
      </c>
      <c r="BY77" s="12">
        <f t="shared" si="185"/>
        <v>0</v>
      </c>
      <c r="BZ77" s="12">
        <f t="shared" si="185"/>
        <v>0</v>
      </c>
      <c r="CA77" s="12">
        <f t="shared" si="185"/>
        <v>0</v>
      </c>
      <c r="CB77" s="12">
        <f t="shared" si="185"/>
        <v>0</v>
      </c>
      <c r="CC77" s="12">
        <f t="shared" si="185"/>
        <v>0</v>
      </c>
      <c r="CD77" s="12">
        <f t="shared" si="185"/>
        <v>0</v>
      </c>
      <c r="CE77" s="12">
        <f t="shared" si="185"/>
        <v>0</v>
      </c>
      <c r="CF77" s="12">
        <f t="shared" si="185"/>
        <v>0</v>
      </c>
      <c r="CG77" s="12">
        <f t="shared" si="185"/>
        <v>0</v>
      </c>
      <c r="CH77" s="12">
        <f t="shared" si="185"/>
        <v>0</v>
      </c>
      <c r="CI77" s="12">
        <f t="shared" si="185"/>
        <v>0</v>
      </c>
      <c r="CJ77" s="12">
        <f t="shared" si="185"/>
        <v>0</v>
      </c>
      <c r="CK77" s="12">
        <f t="shared" si="185"/>
        <v>0</v>
      </c>
      <c r="CL77" s="12">
        <f t="shared" si="185"/>
        <v>0</v>
      </c>
      <c r="CM77" s="12">
        <f t="shared" si="185"/>
        <v>0</v>
      </c>
      <c r="CN77" s="12">
        <f t="shared" si="185"/>
        <v>0</v>
      </c>
      <c r="CO77" s="12">
        <f t="shared" si="185"/>
        <v>0</v>
      </c>
      <c r="CP77" s="12">
        <f t="shared" si="185"/>
        <v>0</v>
      </c>
      <c r="CQ77" s="12">
        <f t="shared" si="185"/>
        <v>0</v>
      </c>
      <c r="CR77" s="12">
        <f t="shared" si="185"/>
        <v>0</v>
      </c>
      <c r="CS77" s="12">
        <f t="shared" si="185"/>
        <v>0</v>
      </c>
      <c r="CT77" s="12">
        <f t="shared" si="185"/>
        <v>0</v>
      </c>
      <c r="CU77" s="12">
        <f t="shared" si="185"/>
        <v>0</v>
      </c>
      <c r="CV77" s="12">
        <f t="shared" si="185"/>
        <v>0</v>
      </c>
      <c r="CW77" s="12">
        <f t="shared" si="185"/>
        <v>0</v>
      </c>
      <c r="CX77" s="12">
        <f t="shared" si="185"/>
        <v>0</v>
      </c>
      <c r="CY77" s="12">
        <f t="shared" si="185"/>
        <v>0</v>
      </c>
      <c r="CZ77" s="12">
        <f t="shared" ref="CZ77:EJ77" si="186">IFERROR(IF(CZ$38&gt;=$X$10, 0, IF(MOD($AD77+CZ$38, $K77)=0, (($M77-$N77)*$Z$11^CZ$38), 0)), 0)</f>
        <v>0</v>
      </c>
      <c r="DA77" s="12">
        <f t="shared" si="186"/>
        <v>0</v>
      </c>
      <c r="DB77" s="12">
        <f t="shared" si="186"/>
        <v>0</v>
      </c>
      <c r="DC77" s="12">
        <f t="shared" si="186"/>
        <v>0</v>
      </c>
      <c r="DD77" s="12">
        <f t="shared" si="186"/>
        <v>0</v>
      </c>
      <c r="DE77" s="12">
        <f t="shared" si="186"/>
        <v>0</v>
      </c>
      <c r="DF77" s="12">
        <f t="shared" si="186"/>
        <v>0</v>
      </c>
      <c r="DG77" s="12">
        <f t="shared" si="186"/>
        <v>0</v>
      </c>
      <c r="DH77" s="12">
        <f t="shared" si="186"/>
        <v>0</v>
      </c>
      <c r="DI77" s="12">
        <f t="shared" si="186"/>
        <v>0</v>
      </c>
      <c r="DJ77" s="12">
        <f t="shared" si="186"/>
        <v>0</v>
      </c>
      <c r="DK77" s="12">
        <f t="shared" si="186"/>
        <v>0</v>
      </c>
      <c r="DL77" s="12">
        <f t="shared" si="186"/>
        <v>0</v>
      </c>
      <c r="DM77" s="12">
        <f t="shared" si="186"/>
        <v>0</v>
      </c>
      <c r="DN77" s="12">
        <f t="shared" si="186"/>
        <v>0</v>
      </c>
      <c r="DO77" s="12">
        <f t="shared" si="186"/>
        <v>0</v>
      </c>
      <c r="DP77" s="12">
        <f t="shared" si="186"/>
        <v>0</v>
      </c>
      <c r="DQ77" s="12">
        <f t="shared" si="186"/>
        <v>0</v>
      </c>
      <c r="DR77" s="12">
        <f t="shared" si="186"/>
        <v>0</v>
      </c>
      <c r="DS77" s="12">
        <f t="shared" si="186"/>
        <v>0</v>
      </c>
      <c r="DT77" s="12">
        <f t="shared" si="186"/>
        <v>0</v>
      </c>
      <c r="DU77" s="12">
        <f t="shared" si="186"/>
        <v>0</v>
      </c>
      <c r="DV77" s="12">
        <f t="shared" si="186"/>
        <v>0</v>
      </c>
      <c r="DW77" s="12">
        <f t="shared" si="186"/>
        <v>0</v>
      </c>
      <c r="DX77" s="12">
        <f t="shared" si="186"/>
        <v>0</v>
      </c>
      <c r="DY77" s="12">
        <f t="shared" si="186"/>
        <v>0</v>
      </c>
      <c r="DZ77" s="12">
        <f t="shared" si="186"/>
        <v>0</v>
      </c>
      <c r="EA77" s="12">
        <f t="shared" si="186"/>
        <v>0</v>
      </c>
      <c r="EB77" s="12">
        <f t="shared" si="186"/>
        <v>0</v>
      </c>
      <c r="EC77" s="12">
        <f t="shared" si="186"/>
        <v>0</v>
      </c>
      <c r="ED77" s="12">
        <f t="shared" si="186"/>
        <v>0</v>
      </c>
      <c r="EE77" s="12">
        <f t="shared" si="186"/>
        <v>0</v>
      </c>
      <c r="EF77" s="12">
        <f t="shared" si="186"/>
        <v>0</v>
      </c>
      <c r="EG77" s="12">
        <f t="shared" si="186"/>
        <v>0</v>
      </c>
      <c r="EH77" s="12">
        <f t="shared" si="186"/>
        <v>0</v>
      </c>
      <c r="EI77" s="12">
        <f t="shared" si="186"/>
        <v>0</v>
      </c>
      <c r="EJ77" s="12">
        <f t="shared" si="186"/>
        <v>0</v>
      </c>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row>
    <row r="78" spans="1:345" x14ac:dyDescent="0.35">
      <c r="A78" s="132"/>
      <c r="B78" s="27"/>
      <c r="C78" s="38"/>
      <c r="D78" s="27"/>
      <c r="E78" s="38"/>
      <c r="F78" s="38"/>
      <c r="G78" s="38"/>
      <c r="H78" s="38"/>
      <c r="I78" s="38"/>
      <c r="J78" s="38"/>
      <c r="K78" s="38"/>
      <c r="L78" s="38"/>
      <c r="M78" s="38"/>
      <c r="N78" s="38"/>
      <c r="O78" s="38"/>
      <c r="P78" s="38"/>
      <c r="Q78" s="27"/>
      <c r="R78" s="132"/>
      <c r="AA78" t="s">
        <v>280</v>
      </c>
      <c r="AE78" t="s">
        <v>286</v>
      </c>
      <c r="AF78" t="s">
        <v>287</v>
      </c>
      <c r="AG78" t="s">
        <v>288</v>
      </c>
      <c r="AH78" t="s">
        <v>289</v>
      </c>
      <c r="AI78" t="s">
        <v>301</v>
      </c>
      <c r="IJ78" s="12"/>
      <c r="IK78" s="12"/>
      <c r="IL78" s="12"/>
      <c r="IM78" s="12"/>
      <c r="IN78" s="12"/>
      <c r="IO78" s="12"/>
    </row>
    <row r="79" spans="1:345" x14ac:dyDescent="0.35">
      <c r="A79" s="132"/>
      <c r="B79" s="27"/>
      <c r="C79" s="38"/>
      <c r="D79" s="27"/>
      <c r="E79" s="38" t="s">
        <v>34</v>
      </c>
      <c r="F79" s="44">
        <f>SUM(X64:X77)</f>
        <v>0</v>
      </c>
      <c r="G79" s="45" t="s">
        <v>35</v>
      </c>
      <c r="H79" s="46">
        <f>SUM(H64:H77)</f>
        <v>0</v>
      </c>
      <c r="I79" s="44">
        <f>SUM(I64:I77)</f>
        <v>0</v>
      </c>
      <c r="J79" s="44">
        <f>SUM(J64:J77)</f>
        <v>0</v>
      </c>
      <c r="K79" s="45" t="s">
        <v>13</v>
      </c>
      <c r="L79" s="45" t="s">
        <v>13</v>
      </c>
      <c r="M79" s="47">
        <f>SUM(M64:M77)</f>
        <v>0</v>
      </c>
      <c r="N79" s="47">
        <f>SUM(N64:N77)</f>
        <v>0</v>
      </c>
      <c r="O79" s="47">
        <f>SUM(O64:O77)</f>
        <v>0</v>
      </c>
      <c r="P79" s="47">
        <f>SUM(P64:P77)</f>
        <v>0</v>
      </c>
      <c r="Q79" s="27"/>
      <c r="R79" s="132"/>
      <c r="V79" s="12"/>
      <c r="W79" t="s">
        <v>280</v>
      </c>
      <c r="X79" t="s">
        <v>283</v>
      </c>
      <c r="Y79" s="12" t="s">
        <v>284</v>
      </c>
      <c r="AA79" s="12" t="s">
        <v>281</v>
      </c>
      <c r="AB79" s="12"/>
      <c r="AC79" s="12"/>
      <c r="AD79" s="12"/>
      <c r="AE79">
        <f>IF($V$10="Carbon Offset", $I80*$V$12, 0)</f>
        <v>0</v>
      </c>
      <c r="AF79">
        <f>IF($X$11=$Z$12, $AE79*$X$10, ($AE79/($Z$12-$X$11))*(1-($X$11/$Z$12)^$X$10)*$Z$12)</f>
        <v>0</v>
      </c>
      <c r="AG79">
        <f>IF($V$10="RECs", (-$I80/(VLOOKUP("RECs", 'General Project Info'!$R$30:$W$40, 5, FALSE)))*$V$11, 0)</f>
        <v>0</v>
      </c>
      <c r="AH79">
        <f>IF($X$11=$Z$12, $AG79*$X$10, ($AG79/($Z$12-$X$11))*(1-($X$11/$Z$12)^$X$10)*$Z$12)</f>
        <v>0</v>
      </c>
      <c r="AL79" t="s">
        <v>292</v>
      </c>
      <c r="AM79" t="s">
        <v>293</v>
      </c>
      <c r="AN79" s="12" t="e">
        <f>IF(AN63&gt;=$X$10, 0, -SUM(AN64:AN77)-($X82*$AE62^AN63)-($V82+$V83)*AN$11/1000-SUM($AE79:$AE82)*$X$12^AN63-($AG79+$AG81)*$X$11^AN63-($X83*$Z$11^AN63)-IF($X$10-1=AN63, $P$29, 0))</f>
        <v>#DIV/0!</v>
      </c>
      <c r="AO79" s="12" t="e">
        <f>IF(AO63&gt;=$X$10, 0, -SUM(AO64:AO77)-($X82*$AE62^AO63)-($V82+$V83)*AO$11/1000-SUM($AE79:$AE82)*$X$12^AO63-($AG79+$AG81)*$X$11^AO63-($X83*$Z$11^AO63)-IF($X$10-1=AO63, $P$29, 0))</f>
        <v>#DIV/0!</v>
      </c>
      <c r="AP79" s="12" t="e">
        <f t="shared" ref="AP79:DA79" si="187">IF(AP63&gt;=$X$10, 0, -SUM(AP64:AP77)-($X82*$AE62^AP63)-($V82+$V83)*AP$11/1000-SUM($AE79:$AE82)*$X$12^AP63-($AG79+$AG81)*$X$11^AP63-($X83*$Z$11^AP63)-IF($X$10-1=AP63, $P$29, 0))</f>
        <v>#DIV/0!</v>
      </c>
      <c r="AQ79" s="12" t="e">
        <f t="shared" si="187"/>
        <v>#DIV/0!</v>
      </c>
      <c r="AR79" s="12" t="e">
        <f t="shared" si="187"/>
        <v>#DIV/0!</v>
      </c>
      <c r="AS79" s="12" t="e">
        <f t="shared" si="187"/>
        <v>#DIV/0!</v>
      </c>
      <c r="AT79" s="12" t="e">
        <f t="shared" si="187"/>
        <v>#DIV/0!</v>
      </c>
      <c r="AU79" s="12" t="e">
        <f t="shared" si="187"/>
        <v>#DIV/0!</v>
      </c>
      <c r="AV79" s="12" t="e">
        <f t="shared" si="187"/>
        <v>#DIV/0!</v>
      </c>
      <c r="AW79" s="12" t="e">
        <f t="shared" si="187"/>
        <v>#DIV/0!</v>
      </c>
      <c r="AX79" s="12" t="e">
        <f t="shared" si="187"/>
        <v>#DIV/0!</v>
      </c>
      <c r="AY79" s="12" t="e">
        <f t="shared" si="187"/>
        <v>#DIV/0!</v>
      </c>
      <c r="AZ79" s="12" t="e">
        <f t="shared" si="187"/>
        <v>#DIV/0!</v>
      </c>
      <c r="BA79" s="12" t="e">
        <f t="shared" si="187"/>
        <v>#DIV/0!</v>
      </c>
      <c r="BB79" s="12" t="e">
        <f t="shared" si="187"/>
        <v>#DIV/0!</v>
      </c>
      <c r="BC79" s="12" t="e">
        <f t="shared" si="187"/>
        <v>#DIV/0!</v>
      </c>
      <c r="BD79" s="12" t="e">
        <f t="shared" si="187"/>
        <v>#DIV/0!</v>
      </c>
      <c r="BE79" s="12" t="e">
        <f t="shared" si="187"/>
        <v>#DIV/0!</v>
      </c>
      <c r="BF79" s="12" t="e">
        <f t="shared" si="187"/>
        <v>#DIV/0!</v>
      </c>
      <c r="BG79" s="12" t="e">
        <f t="shared" si="187"/>
        <v>#DIV/0!</v>
      </c>
      <c r="BH79" s="12">
        <f t="shared" si="187"/>
        <v>0</v>
      </c>
      <c r="BI79" s="12">
        <f t="shared" si="187"/>
        <v>0</v>
      </c>
      <c r="BJ79" s="12">
        <f t="shared" si="187"/>
        <v>0</v>
      </c>
      <c r="BK79" s="12">
        <f t="shared" si="187"/>
        <v>0</v>
      </c>
      <c r="BL79" s="12">
        <f t="shared" si="187"/>
        <v>0</v>
      </c>
      <c r="BM79" s="12">
        <f t="shared" si="187"/>
        <v>0</v>
      </c>
      <c r="BN79" s="12">
        <f t="shared" si="187"/>
        <v>0</v>
      </c>
      <c r="BO79" s="12">
        <f t="shared" si="187"/>
        <v>0</v>
      </c>
      <c r="BP79" s="12">
        <f t="shared" si="187"/>
        <v>0</v>
      </c>
      <c r="BQ79" s="12">
        <f t="shared" si="187"/>
        <v>0</v>
      </c>
      <c r="BR79" s="12">
        <f t="shared" si="187"/>
        <v>0</v>
      </c>
      <c r="BS79" s="12">
        <f t="shared" si="187"/>
        <v>0</v>
      </c>
      <c r="BT79" s="12">
        <f t="shared" si="187"/>
        <v>0</v>
      </c>
      <c r="BU79" s="12">
        <f t="shared" si="187"/>
        <v>0</v>
      </c>
      <c r="BV79" s="12">
        <f t="shared" si="187"/>
        <v>0</v>
      </c>
      <c r="BW79" s="12">
        <f t="shared" si="187"/>
        <v>0</v>
      </c>
      <c r="BX79" s="12">
        <f t="shared" si="187"/>
        <v>0</v>
      </c>
      <c r="BY79" s="12">
        <f t="shared" si="187"/>
        <v>0</v>
      </c>
      <c r="BZ79" s="12">
        <f t="shared" si="187"/>
        <v>0</v>
      </c>
      <c r="CA79" s="12">
        <f t="shared" si="187"/>
        <v>0</v>
      </c>
      <c r="CB79" s="12">
        <f t="shared" si="187"/>
        <v>0</v>
      </c>
      <c r="CC79" s="12">
        <f t="shared" si="187"/>
        <v>0</v>
      </c>
      <c r="CD79" s="12">
        <f t="shared" si="187"/>
        <v>0</v>
      </c>
      <c r="CE79" s="12">
        <f t="shared" si="187"/>
        <v>0</v>
      </c>
      <c r="CF79" s="12">
        <f t="shared" si="187"/>
        <v>0</v>
      </c>
      <c r="CG79" s="12">
        <f t="shared" si="187"/>
        <v>0</v>
      </c>
      <c r="CH79" s="12">
        <f t="shared" si="187"/>
        <v>0</v>
      </c>
      <c r="CI79" s="12">
        <f t="shared" si="187"/>
        <v>0</v>
      </c>
      <c r="CJ79" s="12">
        <f t="shared" si="187"/>
        <v>0</v>
      </c>
      <c r="CK79" s="12">
        <f t="shared" si="187"/>
        <v>0</v>
      </c>
      <c r="CL79" s="12">
        <f t="shared" si="187"/>
        <v>0</v>
      </c>
      <c r="CM79" s="12">
        <f t="shared" si="187"/>
        <v>0</v>
      </c>
      <c r="CN79" s="12">
        <f t="shared" si="187"/>
        <v>0</v>
      </c>
      <c r="CO79" s="12">
        <f t="shared" si="187"/>
        <v>0</v>
      </c>
      <c r="CP79" s="12">
        <f t="shared" si="187"/>
        <v>0</v>
      </c>
      <c r="CQ79" s="12">
        <f t="shared" si="187"/>
        <v>0</v>
      </c>
      <c r="CR79" s="12">
        <f t="shared" si="187"/>
        <v>0</v>
      </c>
      <c r="CS79" s="12">
        <f t="shared" si="187"/>
        <v>0</v>
      </c>
      <c r="CT79" s="12">
        <f t="shared" si="187"/>
        <v>0</v>
      </c>
      <c r="CU79" s="12">
        <f t="shared" si="187"/>
        <v>0</v>
      </c>
      <c r="CV79" s="12">
        <f t="shared" si="187"/>
        <v>0</v>
      </c>
      <c r="CW79" s="12">
        <f t="shared" si="187"/>
        <v>0</v>
      </c>
      <c r="CX79" s="12">
        <f t="shared" si="187"/>
        <v>0</v>
      </c>
      <c r="CY79" s="12">
        <f t="shared" si="187"/>
        <v>0</v>
      </c>
      <c r="CZ79" s="12">
        <f t="shared" si="187"/>
        <v>0</v>
      </c>
      <c r="DA79" s="12">
        <f t="shared" si="187"/>
        <v>0</v>
      </c>
      <c r="DB79" s="12">
        <f t="shared" ref="DB79:EJ79" si="188">IF(DB63&gt;=$X$10, 0, -SUM(DB64:DB77)-($X82*$AE62^DB63)-($V82+$V83)*DB$11/1000-SUM($AE79:$AE82)*$X$12^DB63-($AG79+$AG81)*$X$11^DB63-($X83*$Z$11^DB63)-IF($X$10-1=DB63, $P$29, 0))</f>
        <v>0</v>
      </c>
      <c r="DC79" s="12">
        <f t="shared" si="188"/>
        <v>0</v>
      </c>
      <c r="DD79" s="12">
        <f t="shared" si="188"/>
        <v>0</v>
      </c>
      <c r="DE79" s="12">
        <f t="shared" si="188"/>
        <v>0</v>
      </c>
      <c r="DF79" s="12">
        <f t="shared" si="188"/>
        <v>0</v>
      </c>
      <c r="DG79" s="12">
        <f t="shared" si="188"/>
        <v>0</v>
      </c>
      <c r="DH79" s="12">
        <f t="shared" si="188"/>
        <v>0</v>
      </c>
      <c r="DI79" s="12">
        <f t="shared" si="188"/>
        <v>0</v>
      </c>
      <c r="DJ79" s="12">
        <f t="shared" si="188"/>
        <v>0</v>
      </c>
      <c r="DK79" s="12">
        <f t="shared" si="188"/>
        <v>0</v>
      </c>
      <c r="DL79" s="12">
        <f t="shared" si="188"/>
        <v>0</v>
      </c>
      <c r="DM79" s="12">
        <f t="shared" si="188"/>
        <v>0</v>
      </c>
      <c r="DN79" s="12">
        <f t="shared" si="188"/>
        <v>0</v>
      </c>
      <c r="DO79" s="12">
        <f t="shared" si="188"/>
        <v>0</v>
      </c>
      <c r="DP79" s="12">
        <f t="shared" si="188"/>
        <v>0</v>
      </c>
      <c r="DQ79" s="12">
        <f t="shared" si="188"/>
        <v>0</v>
      </c>
      <c r="DR79" s="12">
        <f t="shared" si="188"/>
        <v>0</v>
      </c>
      <c r="DS79" s="12">
        <f t="shared" si="188"/>
        <v>0</v>
      </c>
      <c r="DT79" s="12">
        <f t="shared" si="188"/>
        <v>0</v>
      </c>
      <c r="DU79" s="12">
        <f t="shared" si="188"/>
        <v>0</v>
      </c>
      <c r="DV79" s="12">
        <f t="shared" si="188"/>
        <v>0</v>
      </c>
      <c r="DW79" s="12">
        <f t="shared" si="188"/>
        <v>0</v>
      </c>
      <c r="DX79" s="12">
        <f t="shared" si="188"/>
        <v>0</v>
      </c>
      <c r="DY79" s="12">
        <f t="shared" si="188"/>
        <v>0</v>
      </c>
      <c r="DZ79" s="12">
        <f t="shared" si="188"/>
        <v>0</v>
      </c>
      <c r="EA79" s="12">
        <f t="shared" si="188"/>
        <v>0</v>
      </c>
      <c r="EB79" s="12">
        <f t="shared" si="188"/>
        <v>0</v>
      </c>
      <c r="EC79" s="12">
        <f t="shared" si="188"/>
        <v>0</v>
      </c>
      <c r="ED79" s="12">
        <f t="shared" si="188"/>
        <v>0</v>
      </c>
      <c r="EE79" s="12">
        <f t="shared" si="188"/>
        <v>0</v>
      </c>
      <c r="EF79" s="12">
        <f t="shared" si="188"/>
        <v>0</v>
      </c>
      <c r="EG79" s="12">
        <f t="shared" si="188"/>
        <v>0</v>
      </c>
      <c r="EH79" s="12">
        <f t="shared" si="188"/>
        <v>0</v>
      </c>
      <c r="EI79" s="12">
        <f t="shared" si="188"/>
        <v>0</v>
      </c>
      <c r="EJ79" s="12">
        <f t="shared" si="188"/>
        <v>0</v>
      </c>
      <c r="IJ79" s="12"/>
      <c r="IK79" s="12"/>
      <c r="IL79" s="12"/>
      <c r="IM79" s="12"/>
      <c r="IN79" s="12"/>
      <c r="IO79" s="12"/>
    </row>
    <row r="80" spans="1:345" x14ac:dyDescent="0.35">
      <c r="A80" s="132"/>
      <c r="B80" s="27"/>
      <c r="C80" s="38"/>
      <c r="D80" s="27"/>
      <c r="E80" s="38" t="s">
        <v>463</v>
      </c>
      <c r="F80" s="105"/>
      <c r="G80" s="37" t="s">
        <v>35</v>
      </c>
      <c r="H80" s="110"/>
      <c r="I80" s="105"/>
      <c r="J80" s="105"/>
      <c r="K80" s="37" t="s">
        <v>13</v>
      </c>
      <c r="L80" s="37" t="s">
        <v>13</v>
      </c>
      <c r="M80" s="37" t="s">
        <v>13</v>
      </c>
      <c r="N80" s="37" t="s">
        <v>13</v>
      </c>
      <c r="O80" s="111"/>
      <c r="P80" s="37" t="s">
        <v>13</v>
      </c>
      <c r="Q80" s="27"/>
      <c r="R80" s="132"/>
      <c r="T80" t="s">
        <v>260</v>
      </c>
      <c r="U80" s="10">
        <f>IF(H80&gt;0, X80, SUM(V64:V77))+IF(I80&gt;0, SUM(AF64:AF77)/I79*I80+AF79+AH79, SUM(AF64:AF77)+SUM(AI64:AJ77))+IF(J80&gt;0, SUM(AG64:AG77)/J79*J80+AF80, SUM(AG64:AG77)+SUM(AK64:AK77))+SUM(AH64:AH77)+IF(O80&gt;0, Y80, SUM(AE64:AE77))-P79</f>
        <v>0</v>
      </c>
      <c r="W80" t="s">
        <v>285</v>
      </c>
      <c r="X80" s="12" t="e">
        <f>IF(AE62=$Z$12, H80*$X$10, (H80/($Z$12-AE62))*(1-(AE62/$Z$12)^$X$10)*$Z$12)</f>
        <v>#DIV/0!</v>
      </c>
      <c r="Y80">
        <f>IF($Z$11=$Z$12, $O$30*$X$10, ($O$30/($Z$12-$Z$11))*(1-($Z$11/$Z$12)^$X$10)*$Z$12)</f>
        <v>0</v>
      </c>
      <c r="AA80" t="s">
        <v>282</v>
      </c>
      <c r="AE80">
        <f>$J80*$V$12</f>
        <v>0</v>
      </c>
      <c r="AF80">
        <f>IF($X$11=$Z$12, $AE80*$X$10, ($AE80/($Z$12-$X$11))*(1-($X$11/$Z$12)^$X$10)*$Z$12)</f>
        <v>0</v>
      </c>
      <c r="AL80" s="12"/>
      <c r="AM80" t="s">
        <v>294</v>
      </c>
      <c r="AN80" s="12">
        <f>IF(AN63&gt;=$X$10, 0, SUM(AN$14:AN$27)+($X$32*$AE$12^AN63)+($V$32+$V$33)*AN$11/1000+SUM($AE$29:$AE$32)*$X$12^AN63+($AG$29+$AG$31)*$X$11^AN63+($X$33*$Z$11^AN63)+IF($X$10-1=AN63, $P79, 0))</f>
        <v>145597.10630328729</v>
      </c>
      <c r="AO80" s="12">
        <f>IF(AO63&gt;=$X$10, 0, SUM(AO$14:AO$27)+($X$32*$AE$12^AO63)+($V$32+$V$33)*AO$11/1000+SUM($AE$29:$AE$32)*$X$12^AO63+($AG$29+$AG$31)*$X$11^AO63+($X$33*$Z$11^AO63)+IF($X$10-1=AO63, $P79, 0))</f>
        <v>46509.048429353039</v>
      </c>
      <c r="AP80" s="12">
        <f t="shared" ref="AP80:DA80" si="189">IF(AP63&gt;=$X$10, 0, SUM(AP$14:AP$27)+($X$32*$AE$12^AP63)+($V$32+$V$33)*AP$11/1000+SUM($AE$29:$AE$32)*$X$12^AP63+($AG$29+$AG$31)*$X$11^AP63+($X$33*$Z$11^AP63)+IF($X$10-1=AP63, $P79, 0))</f>
        <v>47442.268240461417</v>
      </c>
      <c r="AQ80" s="12">
        <f t="shared" si="189"/>
        <v>48397.312844014115</v>
      </c>
      <c r="AR80" s="12">
        <f t="shared" si="189"/>
        <v>49374.745151708936</v>
      </c>
      <c r="AS80" s="12">
        <f t="shared" si="189"/>
        <v>50375.144390111556</v>
      </c>
      <c r="AT80" s="12">
        <f t="shared" si="189"/>
        <v>51399.106629218266</v>
      </c>
      <c r="AU80" s="12">
        <f t="shared" si="189"/>
        <v>52447.245329680605</v>
      </c>
      <c r="AV80" s="12">
        <f t="shared" si="189"/>
        <v>170686.13000961518</v>
      </c>
      <c r="AW80" s="12">
        <f t="shared" si="189"/>
        <v>54618.596330136716</v>
      </c>
      <c r="AX80" s="12">
        <f t="shared" si="189"/>
        <v>55743.127705123479</v>
      </c>
      <c r="AY80" s="12">
        <f t="shared" si="189"/>
        <v>56894.474928066651</v>
      </c>
      <c r="AZ80" s="12">
        <f t="shared" si="189"/>
        <v>58073.347324743641</v>
      </c>
      <c r="BA80" s="12">
        <f t="shared" si="189"/>
        <v>59280.475327800108</v>
      </c>
      <c r="BB80" s="12">
        <f t="shared" si="189"/>
        <v>60516.611175701488</v>
      </c>
      <c r="BC80" s="12">
        <f t="shared" si="189"/>
        <v>61782.529636736013</v>
      </c>
      <c r="BD80" s="12">
        <f t="shared" si="189"/>
        <v>200357.59926807458</v>
      </c>
      <c r="BE80" s="12">
        <f t="shared" si="189"/>
        <v>64406.930647439294</v>
      </c>
      <c r="BF80" s="12">
        <f t="shared" si="189"/>
        <v>65767.082268684884</v>
      </c>
      <c r="BG80" s="12">
        <f t="shared" si="189"/>
        <v>67160.35628520856</v>
      </c>
      <c r="BH80" s="12">
        <f t="shared" si="189"/>
        <v>0</v>
      </c>
      <c r="BI80" s="12">
        <f t="shared" si="189"/>
        <v>0</v>
      </c>
      <c r="BJ80" s="12">
        <f t="shared" si="189"/>
        <v>0</v>
      </c>
      <c r="BK80" s="12">
        <f t="shared" si="189"/>
        <v>0</v>
      </c>
      <c r="BL80" s="12">
        <f t="shared" si="189"/>
        <v>0</v>
      </c>
      <c r="BM80" s="12">
        <f t="shared" si="189"/>
        <v>0</v>
      </c>
      <c r="BN80" s="12">
        <f t="shared" si="189"/>
        <v>0</v>
      </c>
      <c r="BO80" s="12">
        <f t="shared" si="189"/>
        <v>0</v>
      </c>
      <c r="BP80" s="12">
        <f t="shared" si="189"/>
        <v>0</v>
      </c>
      <c r="BQ80" s="12">
        <f t="shared" si="189"/>
        <v>0</v>
      </c>
      <c r="BR80" s="12">
        <f t="shared" si="189"/>
        <v>0</v>
      </c>
      <c r="BS80" s="12">
        <f t="shared" si="189"/>
        <v>0</v>
      </c>
      <c r="BT80" s="12">
        <f t="shared" si="189"/>
        <v>0</v>
      </c>
      <c r="BU80" s="12">
        <f t="shared" si="189"/>
        <v>0</v>
      </c>
      <c r="BV80" s="12">
        <f t="shared" si="189"/>
        <v>0</v>
      </c>
      <c r="BW80" s="12">
        <f t="shared" si="189"/>
        <v>0</v>
      </c>
      <c r="BX80" s="12">
        <f t="shared" si="189"/>
        <v>0</v>
      </c>
      <c r="BY80" s="12">
        <f t="shared" si="189"/>
        <v>0</v>
      </c>
      <c r="BZ80" s="12">
        <f t="shared" si="189"/>
        <v>0</v>
      </c>
      <c r="CA80" s="12">
        <f t="shared" si="189"/>
        <v>0</v>
      </c>
      <c r="CB80" s="12">
        <f t="shared" si="189"/>
        <v>0</v>
      </c>
      <c r="CC80" s="12">
        <f t="shared" si="189"/>
        <v>0</v>
      </c>
      <c r="CD80" s="12">
        <f t="shared" si="189"/>
        <v>0</v>
      </c>
      <c r="CE80" s="12">
        <f t="shared" si="189"/>
        <v>0</v>
      </c>
      <c r="CF80" s="12">
        <f t="shared" si="189"/>
        <v>0</v>
      </c>
      <c r="CG80" s="12">
        <f t="shared" si="189"/>
        <v>0</v>
      </c>
      <c r="CH80" s="12">
        <f t="shared" si="189"/>
        <v>0</v>
      </c>
      <c r="CI80" s="12">
        <f t="shared" si="189"/>
        <v>0</v>
      </c>
      <c r="CJ80" s="12">
        <f t="shared" si="189"/>
        <v>0</v>
      </c>
      <c r="CK80" s="12">
        <f t="shared" si="189"/>
        <v>0</v>
      </c>
      <c r="CL80" s="12">
        <f t="shared" si="189"/>
        <v>0</v>
      </c>
      <c r="CM80" s="12">
        <f t="shared" si="189"/>
        <v>0</v>
      </c>
      <c r="CN80" s="12">
        <f t="shared" si="189"/>
        <v>0</v>
      </c>
      <c r="CO80" s="12">
        <f t="shared" si="189"/>
        <v>0</v>
      </c>
      <c r="CP80" s="12">
        <f t="shared" si="189"/>
        <v>0</v>
      </c>
      <c r="CQ80" s="12">
        <f t="shared" si="189"/>
        <v>0</v>
      </c>
      <c r="CR80" s="12">
        <f t="shared" si="189"/>
        <v>0</v>
      </c>
      <c r="CS80" s="12">
        <f t="shared" si="189"/>
        <v>0</v>
      </c>
      <c r="CT80" s="12">
        <f t="shared" si="189"/>
        <v>0</v>
      </c>
      <c r="CU80" s="12">
        <f t="shared" si="189"/>
        <v>0</v>
      </c>
      <c r="CV80" s="12">
        <f t="shared" si="189"/>
        <v>0</v>
      </c>
      <c r="CW80" s="12">
        <f t="shared" si="189"/>
        <v>0</v>
      </c>
      <c r="CX80" s="12">
        <f t="shared" si="189"/>
        <v>0</v>
      </c>
      <c r="CY80" s="12">
        <f t="shared" si="189"/>
        <v>0</v>
      </c>
      <c r="CZ80" s="12">
        <f t="shared" si="189"/>
        <v>0</v>
      </c>
      <c r="DA80" s="12">
        <f t="shared" si="189"/>
        <v>0</v>
      </c>
      <c r="DB80" s="12">
        <f t="shared" ref="DB80:EJ80" si="190">IF(DB63&gt;=$X$10, 0, SUM(DB$14:DB$27)+($X$32*$AE$12^DB63)+($V$32+$V$33)*DB$11/1000+SUM($AE$29:$AE$32)*$X$12^DB63+($AG$29+$AG$31)*$X$11^DB63+($X$33*$Z$11^DB63)+IF($X$10-1=DB63, $P79, 0))</f>
        <v>0</v>
      </c>
      <c r="DC80" s="12">
        <f t="shared" si="190"/>
        <v>0</v>
      </c>
      <c r="DD80" s="12">
        <f t="shared" si="190"/>
        <v>0</v>
      </c>
      <c r="DE80" s="12">
        <f t="shared" si="190"/>
        <v>0</v>
      </c>
      <c r="DF80" s="12">
        <f t="shared" si="190"/>
        <v>0</v>
      </c>
      <c r="DG80" s="12">
        <f t="shared" si="190"/>
        <v>0</v>
      </c>
      <c r="DH80" s="12">
        <f t="shared" si="190"/>
        <v>0</v>
      </c>
      <c r="DI80" s="12">
        <f t="shared" si="190"/>
        <v>0</v>
      </c>
      <c r="DJ80" s="12">
        <f t="shared" si="190"/>
        <v>0</v>
      </c>
      <c r="DK80" s="12">
        <f t="shared" si="190"/>
        <v>0</v>
      </c>
      <c r="DL80" s="12">
        <f t="shared" si="190"/>
        <v>0</v>
      </c>
      <c r="DM80" s="12">
        <f t="shared" si="190"/>
        <v>0</v>
      </c>
      <c r="DN80" s="12">
        <f t="shared" si="190"/>
        <v>0</v>
      </c>
      <c r="DO80" s="12">
        <f t="shared" si="190"/>
        <v>0</v>
      </c>
      <c r="DP80" s="12">
        <f t="shared" si="190"/>
        <v>0</v>
      </c>
      <c r="DQ80" s="12">
        <f t="shared" si="190"/>
        <v>0</v>
      </c>
      <c r="DR80" s="12">
        <f t="shared" si="190"/>
        <v>0</v>
      </c>
      <c r="DS80" s="12">
        <f t="shared" si="190"/>
        <v>0</v>
      </c>
      <c r="DT80" s="12">
        <f t="shared" si="190"/>
        <v>0</v>
      </c>
      <c r="DU80" s="12">
        <f t="shared" si="190"/>
        <v>0</v>
      </c>
      <c r="DV80" s="12">
        <f t="shared" si="190"/>
        <v>0</v>
      </c>
      <c r="DW80" s="12">
        <f t="shared" si="190"/>
        <v>0</v>
      </c>
      <c r="DX80" s="12">
        <f t="shared" si="190"/>
        <v>0</v>
      </c>
      <c r="DY80" s="12">
        <f t="shared" si="190"/>
        <v>0</v>
      </c>
      <c r="DZ80" s="12">
        <f t="shared" si="190"/>
        <v>0</v>
      </c>
      <c r="EA80" s="12">
        <f t="shared" si="190"/>
        <v>0</v>
      </c>
      <c r="EB80" s="12">
        <f t="shared" si="190"/>
        <v>0</v>
      </c>
      <c r="EC80" s="12">
        <f t="shared" si="190"/>
        <v>0</v>
      </c>
      <c r="ED80" s="12">
        <f t="shared" si="190"/>
        <v>0</v>
      </c>
      <c r="EE80" s="12">
        <f t="shared" si="190"/>
        <v>0</v>
      </c>
      <c r="EF80" s="12">
        <f t="shared" si="190"/>
        <v>0</v>
      </c>
      <c r="EG80" s="12">
        <f t="shared" si="190"/>
        <v>0</v>
      </c>
      <c r="EH80" s="12">
        <f t="shared" si="190"/>
        <v>0</v>
      </c>
      <c r="EI80" s="12">
        <f t="shared" si="190"/>
        <v>0</v>
      </c>
      <c r="EJ80" s="12">
        <f t="shared" si="190"/>
        <v>0</v>
      </c>
    </row>
    <row r="81" spans="1:345" x14ac:dyDescent="0.35">
      <c r="A81" s="132"/>
      <c r="B81" s="27"/>
      <c r="C81" s="27"/>
      <c r="D81" s="27"/>
      <c r="E81" s="27"/>
      <c r="F81" s="27"/>
      <c r="G81" s="27"/>
      <c r="H81" s="34"/>
      <c r="I81" s="39"/>
      <c r="J81" s="27"/>
      <c r="K81" s="27"/>
      <c r="L81" s="27"/>
      <c r="M81" s="27"/>
      <c r="N81" s="27"/>
      <c r="O81" s="34"/>
      <c r="P81" s="27"/>
      <c r="Q81" s="27"/>
      <c r="R81" s="132"/>
      <c r="T81" t="s">
        <v>297</v>
      </c>
      <c r="U81">
        <f>$X82+SUM($AE79:$AE82)+$AG79+$AG81+'General Project Info'!$K$20/1000*($V82+$V83)+$X83</f>
        <v>0</v>
      </c>
      <c r="Z81" t="s">
        <v>296</v>
      </c>
      <c r="AA81" t="s">
        <v>281</v>
      </c>
      <c r="AE81">
        <f>IF(I80&lt;&gt;0, 0, IF($V$10="Carbon Offset", $I79*$V$12, 0))</f>
        <v>0</v>
      </c>
      <c r="AG81">
        <f>IF(I80&lt;&gt;0, 0, IF($V$10="RECs", (-$I79/(VLOOKUP("RECs", 'General Project Info'!$R$30:$W$40, 5, FALSE)))*$V$11, 0))</f>
        <v>0</v>
      </c>
      <c r="AM81" t="s">
        <v>295</v>
      </c>
      <c r="AN81" s="12" t="e">
        <f>AN79+AN80</f>
        <v>#DIV/0!</v>
      </c>
      <c r="AO81" s="12" t="e">
        <f t="shared" ref="AO81" si="191">AO79+AO80</f>
        <v>#DIV/0!</v>
      </c>
      <c r="AP81" s="12" t="e">
        <f>AP79+AP80</f>
        <v>#DIV/0!</v>
      </c>
      <c r="AQ81" s="12" t="e">
        <f>AQ79+AQ80</f>
        <v>#DIV/0!</v>
      </c>
      <c r="AR81" s="12" t="e">
        <f>AR79+AR80</f>
        <v>#DIV/0!</v>
      </c>
      <c r="AS81" s="12" t="e">
        <f t="shared" ref="AS81:DD81" si="192">AS79+AS80</f>
        <v>#DIV/0!</v>
      </c>
      <c r="AT81" s="12" t="e">
        <f t="shared" si="192"/>
        <v>#DIV/0!</v>
      </c>
      <c r="AU81" s="12" t="e">
        <f t="shared" si="192"/>
        <v>#DIV/0!</v>
      </c>
      <c r="AV81" s="12" t="e">
        <f t="shared" si="192"/>
        <v>#DIV/0!</v>
      </c>
      <c r="AW81" s="12" t="e">
        <f t="shared" si="192"/>
        <v>#DIV/0!</v>
      </c>
      <c r="AX81" s="12" t="e">
        <f t="shared" si="192"/>
        <v>#DIV/0!</v>
      </c>
      <c r="AY81" s="12" t="e">
        <f t="shared" si="192"/>
        <v>#DIV/0!</v>
      </c>
      <c r="AZ81" s="12" t="e">
        <f t="shared" si="192"/>
        <v>#DIV/0!</v>
      </c>
      <c r="BA81" s="12" t="e">
        <f t="shared" si="192"/>
        <v>#DIV/0!</v>
      </c>
      <c r="BB81" s="12" t="e">
        <f t="shared" si="192"/>
        <v>#DIV/0!</v>
      </c>
      <c r="BC81" s="12" t="e">
        <f t="shared" si="192"/>
        <v>#DIV/0!</v>
      </c>
      <c r="BD81" s="12" t="e">
        <f t="shared" si="192"/>
        <v>#DIV/0!</v>
      </c>
      <c r="BE81" s="12" t="e">
        <f t="shared" si="192"/>
        <v>#DIV/0!</v>
      </c>
      <c r="BF81" s="12" t="e">
        <f t="shared" si="192"/>
        <v>#DIV/0!</v>
      </c>
      <c r="BG81" s="12" t="e">
        <f t="shared" si="192"/>
        <v>#DIV/0!</v>
      </c>
      <c r="BH81" s="12">
        <f t="shared" si="192"/>
        <v>0</v>
      </c>
      <c r="BI81" s="12">
        <f t="shared" si="192"/>
        <v>0</v>
      </c>
      <c r="BJ81" s="12">
        <f t="shared" si="192"/>
        <v>0</v>
      </c>
      <c r="BK81" s="12">
        <f t="shared" si="192"/>
        <v>0</v>
      </c>
      <c r="BL81" s="12">
        <f t="shared" si="192"/>
        <v>0</v>
      </c>
      <c r="BM81" s="12">
        <f t="shared" si="192"/>
        <v>0</v>
      </c>
      <c r="BN81" s="12">
        <f t="shared" si="192"/>
        <v>0</v>
      </c>
      <c r="BO81" s="12">
        <f t="shared" si="192"/>
        <v>0</v>
      </c>
      <c r="BP81" s="12">
        <f t="shared" si="192"/>
        <v>0</v>
      </c>
      <c r="BQ81" s="12">
        <f t="shared" si="192"/>
        <v>0</v>
      </c>
      <c r="BR81" s="12">
        <f t="shared" si="192"/>
        <v>0</v>
      </c>
      <c r="BS81" s="12">
        <f t="shared" si="192"/>
        <v>0</v>
      </c>
      <c r="BT81" s="12">
        <f t="shared" si="192"/>
        <v>0</v>
      </c>
      <c r="BU81" s="12">
        <f t="shared" si="192"/>
        <v>0</v>
      </c>
      <c r="BV81" s="12">
        <f t="shared" si="192"/>
        <v>0</v>
      </c>
      <c r="BW81" s="12">
        <f t="shared" si="192"/>
        <v>0</v>
      </c>
      <c r="BX81" s="12">
        <f t="shared" si="192"/>
        <v>0</v>
      </c>
      <c r="BY81" s="12">
        <f t="shared" si="192"/>
        <v>0</v>
      </c>
      <c r="BZ81" s="12">
        <f t="shared" si="192"/>
        <v>0</v>
      </c>
      <c r="CA81" s="12">
        <f t="shared" si="192"/>
        <v>0</v>
      </c>
      <c r="CB81" s="12">
        <f t="shared" si="192"/>
        <v>0</v>
      </c>
      <c r="CC81" s="12">
        <f t="shared" si="192"/>
        <v>0</v>
      </c>
      <c r="CD81" s="12">
        <f t="shared" si="192"/>
        <v>0</v>
      </c>
      <c r="CE81" s="12">
        <f t="shared" si="192"/>
        <v>0</v>
      </c>
      <c r="CF81" s="12">
        <f t="shared" si="192"/>
        <v>0</v>
      </c>
      <c r="CG81" s="12">
        <f t="shared" si="192"/>
        <v>0</v>
      </c>
      <c r="CH81" s="12">
        <f t="shared" si="192"/>
        <v>0</v>
      </c>
      <c r="CI81" s="12">
        <f t="shared" si="192"/>
        <v>0</v>
      </c>
      <c r="CJ81" s="12">
        <f t="shared" si="192"/>
        <v>0</v>
      </c>
      <c r="CK81" s="12">
        <f t="shared" si="192"/>
        <v>0</v>
      </c>
      <c r="CL81" s="12">
        <f t="shared" si="192"/>
        <v>0</v>
      </c>
      <c r="CM81" s="12">
        <f t="shared" si="192"/>
        <v>0</v>
      </c>
      <c r="CN81" s="12">
        <f t="shared" si="192"/>
        <v>0</v>
      </c>
      <c r="CO81" s="12">
        <f t="shared" si="192"/>
        <v>0</v>
      </c>
      <c r="CP81" s="12">
        <f t="shared" si="192"/>
        <v>0</v>
      </c>
      <c r="CQ81" s="12">
        <f t="shared" si="192"/>
        <v>0</v>
      </c>
      <c r="CR81" s="12">
        <f t="shared" si="192"/>
        <v>0</v>
      </c>
      <c r="CS81" s="12">
        <f t="shared" si="192"/>
        <v>0</v>
      </c>
      <c r="CT81" s="12">
        <f t="shared" si="192"/>
        <v>0</v>
      </c>
      <c r="CU81" s="12">
        <f t="shared" si="192"/>
        <v>0</v>
      </c>
      <c r="CV81" s="12">
        <f t="shared" si="192"/>
        <v>0</v>
      </c>
      <c r="CW81" s="12">
        <f t="shared" si="192"/>
        <v>0</v>
      </c>
      <c r="CX81" s="12">
        <f t="shared" si="192"/>
        <v>0</v>
      </c>
      <c r="CY81" s="12">
        <f t="shared" si="192"/>
        <v>0</v>
      </c>
      <c r="CZ81" s="12">
        <f t="shared" si="192"/>
        <v>0</v>
      </c>
      <c r="DA81" s="12">
        <f t="shared" si="192"/>
        <v>0</v>
      </c>
      <c r="DB81" s="12">
        <f t="shared" si="192"/>
        <v>0</v>
      </c>
      <c r="DC81" s="12">
        <f t="shared" si="192"/>
        <v>0</v>
      </c>
      <c r="DD81" s="12">
        <f t="shared" si="192"/>
        <v>0</v>
      </c>
      <c r="DE81" s="12">
        <f t="shared" ref="DE81:EJ81" si="193">DE79+DE80</f>
        <v>0</v>
      </c>
      <c r="DF81" s="12">
        <f t="shared" si="193"/>
        <v>0</v>
      </c>
      <c r="DG81" s="12">
        <f t="shared" si="193"/>
        <v>0</v>
      </c>
      <c r="DH81" s="12">
        <f t="shared" si="193"/>
        <v>0</v>
      </c>
      <c r="DI81" s="12">
        <f t="shared" si="193"/>
        <v>0</v>
      </c>
      <c r="DJ81" s="12">
        <f t="shared" si="193"/>
        <v>0</v>
      </c>
      <c r="DK81" s="12">
        <f t="shared" si="193"/>
        <v>0</v>
      </c>
      <c r="DL81" s="12">
        <f t="shared" si="193"/>
        <v>0</v>
      </c>
      <c r="DM81" s="12">
        <f t="shared" si="193"/>
        <v>0</v>
      </c>
      <c r="DN81" s="12">
        <f t="shared" si="193"/>
        <v>0</v>
      </c>
      <c r="DO81" s="12">
        <f t="shared" si="193"/>
        <v>0</v>
      </c>
      <c r="DP81" s="12">
        <f t="shared" si="193"/>
        <v>0</v>
      </c>
      <c r="DQ81" s="12">
        <f t="shared" si="193"/>
        <v>0</v>
      </c>
      <c r="DR81" s="12">
        <f t="shared" si="193"/>
        <v>0</v>
      </c>
      <c r="DS81" s="12">
        <f t="shared" si="193"/>
        <v>0</v>
      </c>
      <c r="DT81" s="12">
        <f t="shared" si="193"/>
        <v>0</v>
      </c>
      <c r="DU81" s="12">
        <f t="shared" si="193"/>
        <v>0</v>
      </c>
      <c r="DV81" s="12">
        <f t="shared" si="193"/>
        <v>0</v>
      </c>
      <c r="DW81" s="12">
        <f t="shared" si="193"/>
        <v>0</v>
      </c>
      <c r="DX81" s="12">
        <f t="shared" si="193"/>
        <v>0</v>
      </c>
      <c r="DY81" s="12">
        <f t="shared" si="193"/>
        <v>0</v>
      </c>
      <c r="DZ81" s="12">
        <f t="shared" si="193"/>
        <v>0</v>
      </c>
      <c r="EA81" s="12">
        <f t="shared" si="193"/>
        <v>0</v>
      </c>
      <c r="EB81" s="12">
        <f t="shared" si="193"/>
        <v>0</v>
      </c>
      <c r="EC81" s="12">
        <f t="shared" si="193"/>
        <v>0</v>
      </c>
      <c r="ED81" s="12">
        <f t="shared" si="193"/>
        <v>0</v>
      </c>
      <c r="EE81" s="12">
        <f t="shared" si="193"/>
        <v>0</v>
      </c>
      <c r="EF81" s="12">
        <f t="shared" si="193"/>
        <v>0</v>
      </c>
      <c r="EG81" s="12">
        <f t="shared" si="193"/>
        <v>0</v>
      </c>
      <c r="EH81" s="12">
        <f t="shared" si="193"/>
        <v>0</v>
      </c>
      <c r="EI81" s="12">
        <f t="shared" si="193"/>
        <v>0</v>
      </c>
      <c r="EJ81" s="12">
        <f t="shared" si="193"/>
        <v>0</v>
      </c>
    </row>
    <row r="82" spans="1:345" x14ac:dyDescent="0.35">
      <c r="A82" s="132"/>
      <c r="B82" s="27"/>
      <c r="C82" s="27"/>
      <c r="D82" s="27"/>
      <c r="E82" s="27"/>
      <c r="F82" s="27"/>
      <c r="G82" s="27"/>
      <c r="H82" s="27"/>
      <c r="I82" s="34"/>
      <c r="J82" s="34"/>
      <c r="K82" s="27"/>
      <c r="L82" s="27"/>
      <c r="M82" s="27"/>
      <c r="N82" s="27"/>
      <c r="O82" s="27"/>
      <c r="P82" s="27"/>
      <c r="Q82" s="27"/>
      <c r="R82" s="132"/>
      <c r="T82" t="s">
        <v>453</v>
      </c>
      <c r="V82" s="12">
        <f>IF(I80&gt;0, I80, I79)</f>
        <v>0</v>
      </c>
      <c r="W82" s="25" t="s">
        <v>300</v>
      </c>
      <c r="X82" s="25">
        <f>IF(H80&gt;0, H80, H79)</f>
        <v>0</v>
      </c>
      <c r="AA82" s="12" t="s">
        <v>282</v>
      </c>
      <c r="AB82" s="12"/>
      <c r="AC82" s="12"/>
      <c r="AD82" s="12"/>
      <c r="AE82">
        <f>IF(J80&lt;&gt;0, 0, $J79*$V$12)</f>
        <v>0</v>
      </c>
      <c r="AL82" s="12"/>
      <c r="AM82" t="s">
        <v>303</v>
      </c>
      <c r="AN82" s="22" t="e">
        <f>IRR(AN81:EJ81)</f>
        <v>#VALUE!</v>
      </c>
      <c r="AO82" t="e">
        <f t="array" ref="AO82">SUM(IF(AN81:EI81*AO81:EJ81&lt;0,1,0))</f>
        <v>#DIV/0!</v>
      </c>
    </row>
    <row r="83" spans="1:345" x14ac:dyDescent="0.35">
      <c r="A83" s="132"/>
      <c r="B83" s="27"/>
      <c r="C83" s="27"/>
      <c r="D83" s="27"/>
      <c r="E83" s="27"/>
      <c r="F83" s="27"/>
      <c r="G83" s="27"/>
      <c r="H83" s="27"/>
      <c r="I83" s="34"/>
      <c r="J83" s="27"/>
      <c r="K83" s="27"/>
      <c r="L83" s="27"/>
      <c r="M83" s="27"/>
      <c r="N83" s="27"/>
      <c r="O83" s="27"/>
      <c r="P83" s="27"/>
      <c r="Q83" s="27"/>
      <c r="R83" s="132"/>
      <c r="T83" t="s">
        <v>454</v>
      </c>
      <c r="V83">
        <f>IF(J80&gt;0, J80, J79)</f>
        <v>0</v>
      </c>
      <c r="W83" s="25" t="s">
        <v>302</v>
      </c>
      <c r="X83" s="25">
        <f>IF(O80&gt;0, O80, O79)</f>
        <v>0</v>
      </c>
      <c r="AM83" t="s">
        <v>466</v>
      </c>
      <c r="AN83" s="12" t="e">
        <f>SUM(AN81:EJ81)</f>
        <v>#DIV/0!</v>
      </c>
    </row>
    <row r="84" spans="1:345" x14ac:dyDescent="0.35">
      <c r="A84" s="132"/>
      <c r="B84" s="27"/>
      <c r="C84" s="27"/>
      <c r="D84" s="27"/>
      <c r="E84" s="27"/>
      <c r="F84" s="27"/>
      <c r="G84" s="27"/>
      <c r="H84" s="27"/>
      <c r="I84" s="27"/>
      <c r="J84" s="27"/>
      <c r="K84" s="27"/>
      <c r="L84" s="27"/>
      <c r="M84" s="27"/>
      <c r="N84" s="27"/>
      <c r="O84" s="27"/>
      <c r="P84" s="27"/>
      <c r="Q84" s="27"/>
      <c r="R84" s="132"/>
      <c r="U84" s="12"/>
      <c r="V84" s="12"/>
      <c r="W84" s="12"/>
      <c r="X84" s="12"/>
      <c r="AG84" s="12"/>
      <c r="AH84" s="12"/>
      <c r="AI84" s="12"/>
      <c r="AJ84" s="12"/>
      <c r="AK84" s="12"/>
      <c r="AL84" s="12"/>
      <c r="AM84" s="12" t="s">
        <v>467</v>
      </c>
      <c r="AN84" t="str">
        <f>IFERROR(IF(OR(AN83&lt;0, AO82&gt;1, AO82=0), "NA - see note", "NO"),"NA - see note")</f>
        <v>NA - see note</v>
      </c>
    </row>
    <row r="85" spans="1:345" x14ac:dyDescent="0.35">
      <c r="A85" s="132"/>
      <c r="B85" s="27"/>
      <c r="C85" s="27"/>
      <c r="D85" s="27"/>
      <c r="E85" s="27"/>
      <c r="F85" s="27"/>
      <c r="G85" s="27"/>
      <c r="H85" s="27"/>
      <c r="I85" s="27"/>
      <c r="J85" s="27"/>
      <c r="K85" s="27"/>
      <c r="L85" s="27"/>
      <c r="M85" s="27"/>
      <c r="N85" s="27"/>
      <c r="O85" s="27"/>
      <c r="P85" s="27"/>
      <c r="Q85" s="27"/>
      <c r="R85" s="132"/>
    </row>
    <row r="86" spans="1:345" x14ac:dyDescent="0.35">
      <c r="A86" s="132"/>
      <c r="B86" s="27"/>
      <c r="C86" s="28" t="s">
        <v>29</v>
      </c>
      <c r="E86" s="169"/>
      <c r="F86" s="169"/>
      <c r="G86" s="169"/>
      <c r="H86" s="27"/>
      <c r="I86" s="56" t="s">
        <v>438</v>
      </c>
      <c r="J86" s="102" t="s">
        <v>440</v>
      </c>
      <c r="K86" s="27"/>
      <c r="L86" s="27"/>
      <c r="M86" s="27"/>
      <c r="N86" s="27"/>
      <c r="O86" s="27"/>
      <c r="P86" s="27"/>
      <c r="Q86" s="27"/>
      <c r="R86" s="132"/>
      <c r="AA86" t="s">
        <v>269</v>
      </c>
      <c r="AE86" t="e">
        <f>SUMIF(T89:T102, "Yes", X89:X102)/SUM(X89:X102)</f>
        <v>#DIV/0!</v>
      </c>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row>
    <row r="87" spans="1:345" x14ac:dyDescent="0.35">
      <c r="A87" s="132"/>
      <c r="B87" s="27"/>
      <c r="C87" s="27"/>
      <c r="D87" s="27"/>
      <c r="E87" s="27"/>
      <c r="F87" s="27"/>
      <c r="G87" s="27"/>
      <c r="H87" s="27"/>
      <c r="I87" s="35"/>
      <c r="J87" s="35"/>
      <c r="K87" s="27"/>
      <c r="L87" s="27"/>
      <c r="M87" s="27"/>
      <c r="N87" s="27"/>
      <c r="O87" s="27"/>
      <c r="P87" s="27"/>
      <c r="Q87" s="27"/>
      <c r="R87" s="132"/>
      <c r="AA87" t="s">
        <v>469</v>
      </c>
      <c r="AE87" s="74" t="e">
        <f>SUMPRODUCT(H89:H102, U89:U102)/SUM(H89:H102)</f>
        <v>#DIV/0!</v>
      </c>
    </row>
    <row r="88" spans="1:345" ht="30" customHeight="1" x14ac:dyDescent="0.35">
      <c r="A88" s="132"/>
      <c r="B88" s="27"/>
      <c r="C88" s="168" t="s">
        <v>36</v>
      </c>
      <c r="D88" s="168"/>
      <c r="E88" s="133" t="s">
        <v>461</v>
      </c>
      <c r="F88" s="133" t="s">
        <v>462</v>
      </c>
      <c r="G88" s="133" t="s">
        <v>1</v>
      </c>
      <c r="H88" s="133" t="s">
        <v>405</v>
      </c>
      <c r="I88" s="133" t="s">
        <v>455</v>
      </c>
      <c r="J88" s="133" t="s">
        <v>456</v>
      </c>
      <c r="K88" s="133" t="s">
        <v>2</v>
      </c>
      <c r="L88" s="133" t="s">
        <v>404</v>
      </c>
      <c r="M88" s="133" t="s">
        <v>0</v>
      </c>
      <c r="N88" s="133" t="s">
        <v>24</v>
      </c>
      <c r="O88" s="133" t="s">
        <v>31</v>
      </c>
      <c r="P88" s="72" t="s">
        <v>22</v>
      </c>
      <c r="Q88" s="27"/>
      <c r="R88" s="132"/>
      <c r="T88" s="18" t="s">
        <v>249</v>
      </c>
      <c r="U88" s="18" t="s">
        <v>254</v>
      </c>
      <c r="V88" s="18" t="s">
        <v>261</v>
      </c>
      <c r="W88" s="18" t="s">
        <v>241</v>
      </c>
      <c r="X88" s="18" t="s">
        <v>240</v>
      </c>
      <c r="Y88" s="18" t="s">
        <v>264</v>
      </c>
      <c r="Z88" s="18" t="s">
        <v>265</v>
      </c>
      <c r="AA88" s="18" t="s">
        <v>388</v>
      </c>
      <c r="AB88" s="18" t="s">
        <v>389</v>
      </c>
      <c r="AC88" s="18" t="s">
        <v>390</v>
      </c>
      <c r="AD88" s="18" t="s">
        <v>465</v>
      </c>
      <c r="AE88" s="18" t="s">
        <v>262</v>
      </c>
      <c r="AF88" s="18" t="s">
        <v>266</v>
      </c>
      <c r="AG88" s="18" t="s">
        <v>267</v>
      </c>
      <c r="AH88" s="18" t="s">
        <v>263</v>
      </c>
      <c r="AI88" s="18" t="s">
        <v>277</v>
      </c>
      <c r="AJ88" s="18" t="s">
        <v>278</v>
      </c>
      <c r="AK88" s="18" t="s">
        <v>279</v>
      </c>
      <c r="AL88" s="18" t="s">
        <v>253</v>
      </c>
      <c r="AM88" s="18" t="s">
        <v>251</v>
      </c>
      <c r="AN88" s="18">
        <v>0</v>
      </c>
      <c r="AO88" s="18">
        <v>1</v>
      </c>
      <c r="AP88" s="18">
        <v>2</v>
      </c>
      <c r="AQ88" s="18">
        <v>3</v>
      </c>
      <c r="AR88" s="18">
        <v>4</v>
      </c>
      <c r="AS88" s="18">
        <v>5</v>
      </c>
      <c r="AT88" s="18">
        <v>6</v>
      </c>
      <c r="AU88" s="18">
        <v>7</v>
      </c>
      <c r="AV88" s="18">
        <v>8</v>
      </c>
      <c r="AW88" s="18">
        <v>9</v>
      </c>
      <c r="AX88" s="18">
        <v>10</v>
      </c>
      <c r="AY88" s="18">
        <v>11</v>
      </c>
      <c r="AZ88" s="18">
        <v>12</v>
      </c>
      <c r="BA88" s="18">
        <v>13</v>
      </c>
      <c r="BB88" s="18">
        <v>14</v>
      </c>
      <c r="BC88" s="18">
        <v>15</v>
      </c>
      <c r="BD88" s="18">
        <v>16</v>
      </c>
      <c r="BE88" s="18">
        <v>17</v>
      </c>
      <c r="BF88" s="18">
        <v>18</v>
      </c>
      <c r="BG88" s="18">
        <v>19</v>
      </c>
      <c r="BH88" s="18">
        <v>20</v>
      </c>
      <c r="BI88" s="18">
        <v>21</v>
      </c>
      <c r="BJ88" s="18">
        <v>22</v>
      </c>
      <c r="BK88" s="18">
        <v>23</v>
      </c>
      <c r="BL88" s="18">
        <v>24</v>
      </c>
      <c r="BM88" s="18">
        <v>25</v>
      </c>
      <c r="BN88" s="18">
        <v>26</v>
      </c>
      <c r="BO88" s="18">
        <v>27</v>
      </c>
      <c r="BP88" s="18">
        <v>28</v>
      </c>
      <c r="BQ88" s="18">
        <v>29</v>
      </c>
      <c r="BR88" s="18">
        <v>30</v>
      </c>
      <c r="BS88" s="18">
        <v>31</v>
      </c>
      <c r="BT88" s="18">
        <v>32</v>
      </c>
      <c r="BU88" s="18">
        <v>33</v>
      </c>
      <c r="BV88" s="18">
        <v>34</v>
      </c>
      <c r="BW88" s="18">
        <v>35</v>
      </c>
      <c r="BX88" s="18">
        <v>36</v>
      </c>
      <c r="BY88" s="18">
        <v>37</v>
      </c>
      <c r="BZ88" s="18">
        <v>38</v>
      </c>
      <c r="CA88" s="18">
        <v>39</v>
      </c>
      <c r="CB88" s="18">
        <v>40</v>
      </c>
      <c r="CC88" s="18">
        <v>41</v>
      </c>
      <c r="CD88" s="18">
        <v>42</v>
      </c>
      <c r="CE88" s="18">
        <v>43</v>
      </c>
      <c r="CF88" s="18">
        <v>44</v>
      </c>
      <c r="CG88" s="18">
        <v>45</v>
      </c>
      <c r="CH88" s="18">
        <v>46</v>
      </c>
      <c r="CI88" s="18">
        <v>47</v>
      </c>
      <c r="CJ88" s="18">
        <v>48</v>
      </c>
      <c r="CK88" s="18">
        <v>49</v>
      </c>
      <c r="CL88" s="18">
        <v>50</v>
      </c>
      <c r="CM88" s="18">
        <v>51</v>
      </c>
      <c r="CN88" s="18">
        <v>52</v>
      </c>
      <c r="CO88" s="18">
        <v>53</v>
      </c>
      <c r="CP88" s="18">
        <v>54</v>
      </c>
      <c r="CQ88" s="18">
        <v>55</v>
      </c>
      <c r="CR88" s="18">
        <v>56</v>
      </c>
      <c r="CS88" s="18">
        <v>57</v>
      </c>
      <c r="CT88" s="18">
        <v>58</v>
      </c>
      <c r="CU88" s="18">
        <v>59</v>
      </c>
      <c r="CV88" s="18">
        <v>60</v>
      </c>
      <c r="CW88" s="18">
        <v>61</v>
      </c>
      <c r="CX88" s="18">
        <v>62</v>
      </c>
      <c r="CY88" s="18">
        <v>63</v>
      </c>
      <c r="CZ88" s="18">
        <v>64</v>
      </c>
      <c r="DA88" s="18">
        <v>65</v>
      </c>
      <c r="DB88" s="18">
        <v>66</v>
      </c>
      <c r="DC88" s="18">
        <v>67</v>
      </c>
      <c r="DD88" s="18">
        <v>68</v>
      </c>
      <c r="DE88" s="18">
        <v>69</v>
      </c>
      <c r="DF88" s="18">
        <v>70</v>
      </c>
      <c r="DG88" s="18">
        <v>71</v>
      </c>
      <c r="DH88" s="18">
        <v>72</v>
      </c>
      <c r="DI88" s="18">
        <v>73</v>
      </c>
      <c r="DJ88" s="18">
        <v>74</v>
      </c>
      <c r="DK88" s="18">
        <v>75</v>
      </c>
      <c r="DL88" s="18">
        <v>76</v>
      </c>
      <c r="DM88" s="18">
        <v>77</v>
      </c>
      <c r="DN88" s="18">
        <v>78</v>
      </c>
      <c r="DO88" s="18">
        <v>79</v>
      </c>
      <c r="DP88" s="18">
        <v>80</v>
      </c>
      <c r="DQ88" s="18">
        <v>81</v>
      </c>
      <c r="DR88" s="18">
        <v>82</v>
      </c>
      <c r="DS88" s="18">
        <v>83</v>
      </c>
      <c r="DT88" s="18">
        <v>84</v>
      </c>
      <c r="DU88" s="18">
        <v>85</v>
      </c>
      <c r="DV88" s="18">
        <v>86</v>
      </c>
      <c r="DW88" s="18">
        <v>87</v>
      </c>
      <c r="DX88" s="18">
        <v>88</v>
      </c>
      <c r="DY88" s="18">
        <v>89</v>
      </c>
      <c r="DZ88" s="18">
        <v>90</v>
      </c>
      <c r="EA88" s="18">
        <v>91</v>
      </c>
      <c r="EB88" s="18">
        <v>92</v>
      </c>
      <c r="EC88" s="18">
        <v>93</v>
      </c>
      <c r="ED88" s="18">
        <v>94</v>
      </c>
      <c r="EE88" s="18">
        <v>95</v>
      </c>
      <c r="EF88" s="18">
        <v>96</v>
      </c>
      <c r="EG88" s="18">
        <v>97</v>
      </c>
      <c r="EH88" s="18">
        <v>98</v>
      </c>
      <c r="EI88" s="18">
        <v>99</v>
      </c>
      <c r="EJ88" s="18">
        <v>100</v>
      </c>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JP88" s="18"/>
      <c r="JQ88" s="18"/>
      <c r="JR88" s="18"/>
      <c r="JS88" s="18"/>
      <c r="JT88" s="18"/>
      <c r="JU88" s="18"/>
      <c r="JV88" s="18"/>
      <c r="JW88" s="18"/>
      <c r="JX88" s="18"/>
      <c r="JY88" s="18"/>
      <c r="JZ88" s="18"/>
      <c r="KA88" s="18"/>
      <c r="KB88" s="18"/>
      <c r="KC88" s="18"/>
      <c r="KD88" s="18"/>
      <c r="KE88" s="18"/>
      <c r="KF88" s="18"/>
      <c r="KG88" s="18"/>
      <c r="KH88" s="18"/>
      <c r="KI88" s="18"/>
      <c r="KJ88" s="18"/>
      <c r="KK88" s="18"/>
      <c r="KL88" s="18"/>
      <c r="KM88" s="18"/>
      <c r="KN88" s="18"/>
      <c r="KO88" s="18"/>
      <c r="KP88" s="18"/>
      <c r="KQ88" s="18"/>
      <c r="KR88" s="18"/>
      <c r="KS88" s="18"/>
      <c r="KT88" s="18"/>
      <c r="KU88" s="18"/>
      <c r="KV88" s="18"/>
      <c r="KW88" s="18"/>
      <c r="KX88" s="18"/>
      <c r="KY88" s="18"/>
      <c r="KZ88" s="18"/>
      <c r="LA88" s="18"/>
      <c r="LB88" s="18"/>
      <c r="LC88" s="18"/>
      <c r="LD88" s="18"/>
      <c r="LE88" s="18"/>
      <c r="LF88" s="18"/>
      <c r="LG88" s="18"/>
      <c r="LH88" s="18"/>
      <c r="LI88" s="18"/>
      <c r="LJ88" s="18"/>
      <c r="LK88" s="18"/>
      <c r="LL88" s="18"/>
      <c r="LM88" s="18"/>
      <c r="LN88" s="18"/>
      <c r="LO88" s="18"/>
      <c r="LP88" s="18"/>
      <c r="LQ88" s="18"/>
      <c r="LR88" s="18"/>
      <c r="LS88" s="18"/>
      <c r="LT88" s="18"/>
      <c r="LU88" s="18"/>
      <c r="LV88" s="18"/>
      <c r="LW88" s="18"/>
      <c r="LX88" s="18"/>
      <c r="LY88" s="18"/>
      <c r="LZ88" s="18"/>
      <c r="MA88" s="18"/>
      <c r="MB88" s="18"/>
      <c r="MC88" s="18"/>
      <c r="MD88" s="18"/>
      <c r="ME88" s="18"/>
      <c r="MF88" s="18"/>
    </row>
    <row r="89" spans="1:345" x14ac:dyDescent="0.35">
      <c r="A89" s="132"/>
      <c r="B89" s="27"/>
      <c r="C89" s="170"/>
      <c r="D89" s="170"/>
      <c r="E89" s="103"/>
      <c r="F89" s="104"/>
      <c r="G89" s="36" t="str">
        <f>IFERROR(VLOOKUP(E89, 'General Project Info'!$C$30:$I$40, 7, FALSE), "")</f>
        <v/>
      </c>
      <c r="H89" s="41">
        <f>IFERROR(X89*VLOOKUP(E89, 'General Project Info'!$R$30:$T$40, 3, FALSE), 0)</f>
        <v>0</v>
      </c>
      <c r="I89" s="42">
        <f>IFERROR(IF($T89="Yes", $X89*VLOOKUP($E89, 'General Project Info'!$R$30:$W$40, 5, FALSE), 0), 0)</f>
        <v>0</v>
      </c>
      <c r="J89" s="42">
        <f>IFERROR(IF($T89="No", $X89*VLOOKUP($E89, 'General Project Info'!$R$30:$W$40, 5, FALSE), 0), 0)</f>
        <v>0</v>
      </c>
      <c r="K89" s="106"/>
      <c r="L89" s="106"/>
      <c r="M89" s="107"/>
      <c r="N89" s="107"/>
      <c r="O89" s="107"/>
      <c r="P89" s="43">
        <f>IFERROR(IF(K89=AC89, 0, (AC89/K89*M89)*$Z$11^IF(AB89&lt;=0,0,AA89)), 0)</f>
        <v>0</v>
      </c>
      <c r="Q89" s="27"/>
      <c r="R89" s="132"/>
      <c r="T89" s="18" t="e">
        <f>VLOOKUP($E89, 'Unit Conversions Array'!$B$4:$Z$23, 25, FALSE)</f>
        <v>#N/A</v>
      </c>
      <c r="U89" s="18">
        <f>VLOOKUP(E89, 'General Project Info'!$R$30:$W$40, 6, FALSE)</f>
        <v>1</v>
      </c>
      <c r="V89" s="18">
        <f>IF(U89=$Z$12, H89*$X$10, (H89/($Z$12-U89))*(1-(U89/$Z$12)^$X$10))</f>
        <v>0</v>
      </c>
      <c r="W89" s="18">
        <f>IFERROR(F89*INDEX('Unit Conversions Array'!$E$4:$Y$23, MATCH('Scenarios &amp; Measures'!E89, 'Unit Conversions Array'!$B$4:$B$23, 0), MATCH('Scenarios &amp; Measures'!G89, 'Unit Conversions Array'!$E$3:$Y$3, 0)), 0)</f>
        <v>0</v>
      </c>
      <c r="X89" s="19">
        <f>W89/3.412</f>
        <v>0</v>
      </c>
      <c r="Y89" s="19">
        <f>I89</f>
        <v>0</v>
      </c>
      <c r="Z89" s="19">
        <f>J89</f>
        <v>0</v>
      </c>
      <c r="AA89" s="17">
        <f>IFERROR(ROUNDDOWN(($X$10-(K89-AD89))/K89, 0)*K89+(K89-AD89), 0)</f>
        <v>0</v>
      </c>
      <c r="AB89" s="17">
        <f>$X$10-AA89</f>
        <v>20</v>
      </c>
      <c r="AC89" s="17">
        <f>IF(AB89&lt;0, ABS(AB89), K89-AB89)</f>
        <v>-20</v>
      </c>
      <c r="AD89" s="17">
        <f>IF(L89&lt;=K89, L89, 0)</f>
        <v>0</v>
      </c>
      <c r="AE89" s="18">
        <f>IF($Z$11=$Z$12, O89*$X$10, (O89/($Z$12-$Z$11))*(1-($Z$11/$Z$12)^$X$10))*$Z$12</f>
        <v>0</v>
      </c>
      <c r="AF89" s="19">
        <f t="shared" ref="AF89:AF102" si="194">SUMPRODUCT($AN$11:$EJ$11,$AN$12:$EJ$12)*Y89/1000</f>
        <v>0</v>
      </c>
      <c r="AG89" s="12">
        <f t="shared" ref="AG89:AG102" si="195">SUMPRODUCT($AN$11:$EJ$11,$AN$12:$EJ$12)*Z89/1000</f>
        <v>0</v>
      </c>
      <c r="AH89" s="17">
        <f>IFERROR(SUMPRODUCT($AN$12:$EJ$12, AN89:EJ89), 0)</f>
        <v>0</v>
      </c>
      <c r="AI89" s="23">
        <f>IF($V$10="RECs", -Y89/VLOOKUP("RECs", 'General Project Info'!$R$30:$W$40, 5, FALSE)*$V$11*IF($X$11=$Z$12, $X$10, (1/($Z$12-$X$11))*(1-($X$11/$Z$12)^$X$10)*$Z$12), 0)</f>
        <v>0</v>
      </c>
      <c r="AJ89" s="17">
        <f>IF($V$10="Carbon Offset", IF($X$12=$Z$12,Y89*$V$12*$X$10, (Y89*$V$12)/($Z$12-$X$12)*(1-($X$12/$Z$12)^$X$10)*$Z$12), 0)</f>
        <v>0</v>
      </c>
      <c r="AK89" s="17">
        <f>IF($X$12=$Z$12,Z89*$V$12*$X$10, (Z89*$V$12)/($Z$12-$X$12)*(1-($X$12/$Z$12)^$X$10)*$Z$12)</f>
        <v>0</v>
      </c>
      <c r="AL89" s="17">
        <f>V89+AG89+AH89+AE89+AF89+AI89+AJ89+AK89-P89</f>
        <v>0</v>
      </c>
      <c r="AM89" s="20" t="s">
        <v>290</v>
      </c>
      <c r="AN89" s="12">
        <f>IFERROR(IF(AN$38&gt;=$X$10, 0, IF(MOD($AD89+AN$38, $K89)=0, (($M89-$N89)*$Z$11^AN$38), 0)), 0)</f>
        <v>0</v>
      </c>
      <c r="AO89" s="12">
        <f t="shared" ref="AO89:CZ90" si="196">IFERROR(IF(AO$38&gt;=$X$10, 0, IF(MOD($AD89+AO$38, $K89)=0, (($M89-$N89)*$Z$11^AO$38), 0)), 0)</f>
        <v>0</v>
      </c>
      <c r="AP89" s="12">
        <f t="shared" si="196"/>
        <v>0</v>
      </c>
      <c r="AQ89" s="12">
        <f t="shared" si="196"/>
        <v>0</v>
      </c>
      <c r="AR89" s="12">
        <f t="shared" si="196"/>
        <v>0</v>
      </c>
      <c r="AS89" s="12">
        <f t="shared" si="196"/>
        <v>0</v>
      </c>
      <c r="AT89" s="12">
        <f t="shared" si="196"/>
        <v>0</v>
      </c>
      <c r="AU89" s="12">
        <f t="shared" si="196"/>
        <v>0</v>
      </c>
      <c r="AV89" s="12">
        <f t="shared" si="196"/>
        <v>0</v>
      </c>
      <c r="AW89" s="12">
        <f t="shared" si="196"/>
        <v>0</v>
      </c>
      <c r="AX89" s="12">
        <f t="shared" si="196"/>
        <v>0</v>
      </c>
      <c r="AY89" s="12">
        <f t="shared" si="196"/>
        <v>0</v>
      </c>
      <c r="AZ89" s="12">
        <f t="shared" si="196"/>
        <v>0</v>
      </c>
      <c r="BA89" s="12">
        <f t="shared" si="196"/>
        <v>0</v>
      </c>
      <c r="BB89" s="12">
        <f t="shared" si="196"/>
        <v>0</v>
      </c>
      <c r="BC89" s="12">
        <f t="shared" si="196"/>
        <v>0</v>
      </c>
      <c r="BD89" s="12">
        <f t="shared" si="196"/>
        <v>0</v>
      </c>
      <c r="BE89" s="12">
        <f t="shared" si="196"/>
        <v>0</v>
      </c>
      <c r="BF89" s="12">
        <f t="shared" si="196"/>
        <v>0</v>
      </c>
      <c r="BG89" s="12">
        <f t="shared" si="196"/>
        <v>0</v>
      </c>
      <c r="BH89" s="12">
        <f t="shared" si="196"/>
        <v>0</v>
      </c>
      <c r="BI89" s="12">
        <f t="shared" si="196"/>
        <v>0</v>
      </c>
      <c r="BJ89" s="12">
        <f t="shared" si="196"/>
        <v>0</v>
      </c>
      <c r="BK89" s="12">
        <f t="shared" si="196"/>
        <v>0</v>
      </c>
      <c r="BL89" s="12">
        <f t="shared" si="196"/>
        <v>0</v>
      </c>
      <c r="BM89" s="12">
        <f t="shared" si="196"/>
        <v>0</v>
      </c>
      <c r="BN89" s="12">
        <f t="shared" si="196"/>
        <v>0</v>
      </c>
      <c r="BO89" s="12">
        <f t="shared" si="196"/>
        <v>0</v>
      </c>
      <c r="BP89" s="12">
        <f t="shared" si="196"/>
        <v>0</v>
      </c>
      <c r="BQ89" s="12">
        <f t="shared" si="196"/>
        <v>0</v>
      </c>
      <c r="BR89" s="12">
        <f t="shared" si="196"/>
        <v>0</v>
      </c>
      <c r="BS89" s="12">
        <f t="shared" si="196"/>
        <v>0</v>
      </c>
      <c r="BT89" s="12">
        <f t="shared" si="196"/>
        <v>0</v>
      </c>
      <c r="BU89" s="12">
        <f t="shared" si="196"/>
        <v>0</v>
      </c>
      <c r="BV89" s="12">
        <f t="shared" si="196"/>
        <v>0</v>
      </c>
      <c r="BW89" s="12">
        <f t="shared" si="196"/>
        <v>0</v>
      </c>
      <c r="BX89" s="12">
        <f t="shared" si="196"/>
        <v>0</v>
      </c>
      <c r="BY89" s="12">
        <f t="shared" si="196"/>
        <v>0</v>
      </c>
      <c r="BZ89" s="12">
        <f t="shared" si="196"/>
        <v>0</v>
      </c>
      <c r="CA89" s="12">
        <f t="shared" si="196"/>
        <v>0</v>
      </c>
      <c r="CB89" s="12">
        <f t="shared" si="196"/>
        <v>0</v>
      </c>
      <c r="CC89" s="12">
        <f t="shared" si="196"/>
        <v>0</v>
      </c>
      <c r="CD89" s="12">
        <f t="shared" si="196"/>
        <v>0</v>
      </c>
      <c r="CE89" s="12">
        <f t="shared" si="196"/>
        <v>0</v>
      </c>
      <c r="CF89" s="12">
        <f t="shared" si="196"/>
        <v>0</v>
      </c>
      <c r="CG89" s="12">
        <f t="shared" si="196"/>
        <v>0</v>
      </c>
      <c r="CH89" s="12">
        <f t="shared" si="196"/>
        <v>0</v>
      </c>
      <c r="CI89" s="12">
        <f t="shared" si="196"/>
        <v>0</v>
      </c>
      <c r="CJ89" s="12">
        <f t="shared" si="196"/>
        <v>0</v>
      </c>
      <c r="CK89" s="12">
        <f t="shared" si="196"/>
        <v>0</v>
      </c>
      <c r="CL89" s="12">
        <f t="shared" si="196"/>
        <v>0</v>
      </c>
      <c r="CM89" s="12">
        <f t="shared" si="196"/>
        <v>0</v>
      </c>
      <c r="CN89" s="12">
        <f t="shared" si="196"/>
        <v>0</v>
      </c>
      <c r="CO89" s="12">
        <f t="shared" si="196"/>
        <v>0</v>
      </c>
      <c r="CP89" s="12">
        <f t="shared" si="196"/>
        <v>0</v>
      </c>
      <c r="CQ89" s="12">
        <f t="shared" si="196"/>
        <v>0</v>
      </c>
      <c r="CR89" s="12">
        <f t="shared" si="196"/>
        <v>0</v>
      </c>
      <c r="CS89" s="12">
        <f t="shared" si="196"/>
        <v>0</v>
      </c>
      <c r="CT89" s="12">
        <f t="shared" si="196"/>
        <v>0</v>
      </c>
      <c r="CU89" s="12">
        <f t="shared" si="196"/>
        <v>0</v>
      </c>
      <c r="CV89" s="12">
        <f t="shared" si="196"/>
        <v>0</v>
      </c>
      <c r="CW89" s="12">
        <f t="shared" si="196"/>
        <v>0</v>
      </c>
      <c r="CX89" s="12">
        <f t="shared" si="196"/>
        <v>0</v>
      </c>
      <c r="CY89" s="12">
        <f t="shared" si="196"/>
        <v>0</v>
      </c>
      <c r="CZ89" s="12">
        <f t="shared" si="196"/>
        <v>0</v>
      </c>
      <c r="DA89" s="12">
        <f t="shared" ref="DA89:EJ93" si="197">IFERROR(IF(DA$38&gt;=$X$10, 0, IF(MOD($AD89+DA$38, $K89)=0, (($M89-$N89)*$Z$11^DA$38), 0)), 0)</f>
        <v>0</v>
      </c>
      <c r="DB89" s="12">
        <f t="shared" si="197"/>
        <v>0</v>
      </c>
      <c r="DC89" s="12">
        <f t="shared" si="197"/>
        <v>0</v>
      </c>
      <c r="DD89" s="12">
        <f t="shared" si="197"/>
        <v>0</v>
      </c>
      <c r="DE89" s="12">
        <f t="shared" si="197"/>
        <v>0</v>
      </c>
      <c r="DF89" s="12">
        <f t="shared" si="197"/>
        <v>0</v>
      </c>
      <c r="DG89" s="12">
        <f t="shared" si="197"/>
        <v>0</v>
      </c>
      <c r="DH89" s="12">
        <f t="shared" si="197"/>
        <v>0</v>
      </c>
      <c r="DI89" s="12">
        <f t="shared" si="197"/>
        <v>0</v>
      </c>
      <c r="DJ89" s="12">
        <f t="shared" si="197"/>
        <v>0</v>
      </c>
      <c r="DK89" s="12">
        <f t="shared" si="197"/>
        <v>0</v>
      </c>
      <c r="DL89" s="12">
        <f t="shared" si="197"/>
        <v>0</v>
      </c>
      <c r="DM89" s="12">
        <f t="shared" si="197"/>
        <v>0</v>
      </c>
      <c r="DN89" s="12">
        <f t="shared" si="197"/>
        <v>0</v>
      </c>
      <c r="DO89" s="12">
        <f t="shared" si="197"/>
        <v>0</v>
      </c>
      <c r="DP89" s="12">
        <f t="shared" si="197"/>
        <v>0</v>
      </c>
      <c r="DQ89" s="12">
        <f t="shared" si="197"/>
        <v>0</v>
      </c>
      <c r="DR89" s="12">
        <f t="shared" si="197"/>
        <v>0</v>
      </c>
      <c r="DS89" s="12">
        <f t="shared" si="197"/>
        <v>0</v>
      </c>
      <c r="DT89" s="12">
        <f t="shared" si="197"/>
        <v>0</v>
      </c>
      <c r="DU89" s="12">
        <f t="shared" si="197"/>
        <v>0</v>
      </c>
      <c r="DV89" s="12">
        <f t="shared" si="197"/>
        <v>0</v>
      </c>
      <c r="DW89" s="12">
        <f t="shared" si="197"/>
        <v>0</v>
      </c>
      <c r="DX89" s="12">
        <f t="shared" si="197"/>
        <v>0</v>
      </c>
      <c r="DY89" s="12">
        <f t="shared" si="197"/>
        <v>0</v>
      </c>
      <c r="DZ89" s="12">
        <f t="shared" si="197"/>
        <v>0</v>
      </c>
      <c r="EA89" s="12">
        <f t="shared" si="197"/>
        <v>0</v>
      </c>
      <c r="EB89" s="12">
        <f t="shared" si="197"/>
        <v>0</v>
      </c>
      <c r="EC89" s="12">
        <f t="shared" si="197"/>
        <v>0</v>
      </c>
      <c r="ED89" s="12">
        <f t="shared" si="197"/>
        <v>0</v>
      </c>
      <c r="EE89" s="12">
        <f t="shared" si="197"/>
        <v>0</v>
      </c>
      <c r="EF89" s="12">
        <f t="shared" si="197"/>
        <v>0</v>
      </c>
      <c r="EG89" s="12">
        <f t="shared" si="197"/>
        <v>0</v>
      </c>
      <c r="EH89" s="12">
        <f t="shared" si="197"/>
        <v>0</v>
      </c>
      <c r="EI89" s="12">
        <f t="shared" si="197"/>
        <v>0</v>
      </c>
      <c r="EJ89" s="12">
        <f t="shared" si="197"/>
        <v>0</v>
      </c>
      <c r="EK89" s="20"/>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6"/>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row>
    <row r="90" spans="1:345" x14ac:dyDescent="0.35">
      <c r="A90" s="132"/>
      <c r="B90" s="27"/>
      <c r="C90" s="170"/>
      <c r="D90" s="170"/>
      <c r="E90" s="103"/>
      <c r="F90" s="105"/>
      <c r="G90" s="36" t="str">
        <f>IFERROR(VLOOKUP(E90, 'General Project Info'!$C$30:$I$40, 7, FALSE), "")</f>
        <v/>
      </c>
      <c r="H90" s="41">
        <f>IFERROR(X90*VLOOKUP(E90, 'General Project Info'!$R$30:$T$40, 3, FALSE), 0)</f>
        <v>0</v>
      </c>
      <c r="I90" s="42">
        <f>IFERROR(IF($T90="Yes", $X90*VLOOKUP($E90, 'General Project Info'!$R$30:$W$40, 5, FALSE), 0), 0)</f>
        <v>0</v>
      </c>
      <c r="J90" s="42">
        <f>IFERROR(IF($T90="No", $X90*VLOOKUP($E90, 'General Project Info'!$R$30:$W$40, 5, FALSE), 0), 0)</f>
        <v>0</v>
      </c>
      <c r="K90" s="108"/>
      <c r="L90" s="108"/>
      <c r="M90" s="109"/>
      <c r="N90" s="109"/>
      <c r="O90" s="109"/>
      <c r="P90" s="43">
        <f t="shared" ref="P90:P102" si="198">IFERROR(IF(K90=AC90, 0, (AC90/K90*M90)*$Z$11^IF(AB90&lt;=0,0,AA90)), 0)</f>
        <v>0</v>
      </c>
      <c r="Q90" s="27"/>
      <c r="R90" s="132"/>
      <c r="T90" s="18" t="e">
        <f>VLOOKUP($E90, 'Unit Conversions Array'!$B$4:$Z$23, 25, FALSE)</f>
        <v>#N/A</v>
      </c>
      <c r="U90">
        <f>VLOOKUP(E90, 'General Project Info'!$R$30:$W$40, 6, FALSE)</f>
        <v>1</v>
      </c>
      <c r="V90" s="18">
        <f t="shared" ref="V90:V102" si="199">IF(U90=$Z$12, H90*$X$10, (H90/($Z$12-U90))*(1-(U90/$Z$12)^$X$10))</f>
        <v>0</v>
      </c>
      <c r="W90" s="18">
        <f>IFERROR(F90*INDEX('Unit Conversions Array'!$E$4:$Y$23, MATCH('Scenarios &amp; Measures'!E90, 'Unit Conversions Array'!$B$4:$B$23, 0), MATCH('Scenarios &amp; Measures'!G90, 'Unit Conversions Array'!$E$3:$Y$3, 0)), 0)</f>
        <v>0</v>
      </c>
      <c r="X90" s="19">
        <f t="shared" ref="X90:X102" si="200">W90/3.412</f>
        <v>0</v>
      </c>
      <c r="Y90" s="19">
        <f t="shared" ref="Y90:Y102" si="201">I90</f>
        <v>0</v>
      </c>
      <c r="Z90" s="19">
        <f t="shared" ref="Z90:Z102" si="202">J90</f>
        <v>0</v>
      </c>
      <c r="AA90" s="17">
        <f>IFERROR(ROUNDDOWN(($X$10-(K90-AD90))/K90, 0)*K90+(K90-AD90), 0)</f>
        <v>0</v>
      </c>
      <c r="AB90" s="17">
        <f t="shared" ref="AB90:AB102" si="203">$X$10-AA90</f>
        <v>20</v>
      </c>
      <c r="AC90" s="17">
        <f t="shared" ref="AC90:AC102" si="204">IF(AB90&lt;0, ABS(AB90), K90-AB90)</f>
        <v>-20</v>
      </c>
      <c r="AD90" s="17">
        <f t="shared" ref="AD90:AD102" si="205">IF(L90&lt;=K90, L90, 0)</f>
        <v>0</v>
      </c>
      <c r="AE90" s="18">
        <f t="shared" ref="AE90:AE102" si="206">IF($Z$11=$Z$12, O90*$X$10, (O90/($Z$12-$Z$11))*(1-($Z$11/$Z$12)^$X$10))*$Z$12</f>
        <v>0</v>
      </c>
      <c r="AF90" s="19">
        <f t="shared" si="194"/>
        <v>0</v>
      </c>
      <c r="AG90" s="12">
        <f t="shared" si="195"/>
        <v>0</v>
      </c>
      <c r="AH90" s="17">
        <f t="shared" ref="AH90:AH102" si="207">IFERROR(SUMPRODUCT($AN$12:$EJ$12, AN90:EJ90), 0)</f>
        <v>0</v>
      </c>
      <c r="AI90" s="23">
        <f>IF($V$10="RECs", -Y90/VLOOKUP("RECs", 'General Project Info'!$R$30:$W$40, 5, FALSE)*$V$11*IF($X$11=$Z$12, $X$10, (1/($Z$12-$X$11))*(1-($X$11/$Z$12)^$X$10)*$Z$12), 0)</f>
        <v>0</v>
      </c>
      <c r="AJ90" s="17">
        <f t="shared" ref="AJ90:AJ102" si="208">IF($V$10="Carbon Offset", IF($X$12=$Z$12,Y90*$V$12*$X$10, (Y90*$V$12)/($Z$12-$X$12)*(1-($X$12/$Z$12)^$X$10)*$Z$12), 0)</f>
        <v>0</v>
      </c>
      <c r="AK90" s="17">
        <f t="shared" ref="AK90:AK102" si="209">IF($X$12=$Z$12,Z90*$V$12*$X$10, (Z90*$V$12)/($Z$12-$X$12)*(1-($X$12/$Z$12)^$X$10)*$Z$12)</f>
        <v>0</v>
      </c>
      <c r="AL90" s="17">
        <f t="shared" ref="AL90:AL102" si="210">V90+AG90+AH90+AE90+AF90+AI90+AJ90+AK90-P90</f>
        <v>0</v>
      </c>
      <c r="AM90" s="16"/>
      <c r="AN90" s="12">
        <f t="shared" ref="AN90:BC102" si="211">IFERROR(IF(AN$38&gt;=$X$10, 0, IF(MOD($AD90+AN$38, $K90)=0, (($M90-$N90)*$Z$11^AN$38), 0)), 0)</f>
        <v>0</v>
      </c>
      <c r="AO90" s="12">
        <f t="shared" si="211"/>
        <v>0</v>
      </c>
      <c r="AP90" s="12">
        <f t="shared" si="211"/>
        <v>0</v>
      </c>
      <c r="AQ90" s="12">
        <f t="shared" si="211"/>
        <v>0</v>
      </c>
      <c r="AR90" s="12">
        <f t="shared" si="211"/>
        <v>0</v>
      </c>
      <c r="AS90" s="12">
        <f t="shared" si="211"/>
        <v>0</v>
      </c>
      <c r="AT90" s="12">
        <f t="shared" si="211"/>
        <v>0</v>
      </c>
      <c r="AU90" s="12">
        <f t="shared" si="211"/>
        <v>0</v>
      </c>
      <c r="AV90" s="12">
        <f t="shared" si="211"/>
        <v>0</v>
      </c>
      <c r="AW90" s="12">
        <f t="shared" si="211"/>
        <v>0</v>
      </c>
      <c r="AX90" s="12">
        <f t="shared" si="211"/>
        <v>0</v>
      </c>
      <c r="AY90" s="12">
        <f t="shared" si="211"/>
        <v>0</v>
      </c>
      <c r="AZ90" s="12">
        <f t="shared" si="211"/>
        <v>0</v>
      </c>
      <c r="BA90" s="12">
        <f t="shared" si="211"/>
        <v>0</v>
      </c>
      <c r="BB90" s="12">
        <f t="shared" si="211"/>
        <v>0</v>
      </c>
      <c r="BC90" s="12">
        <f t="shared" si="211"/>
        <v>0</v>
      </c>
      <c r="BD90" s="12">
        <f t="shared" si="196"/>
        <v>0</v>
      </c>
      <c r="BE90" s="12">
        <f t="shared" si="196"/>
        <v>0</v>
      </c>
      <c r="BF90" s="12">
        <f t="shared" si="196"/>
        <v>0</v>
      </c>
      <c r="BG90" s="12">
        <f t="shared" si="196"/>
        <v>0</v>
      </c>
      <c r="BH90" s="12">
        <f t="shared" si="196"/>
        <v>0</v>
      </c>
      <c r="BI90" s="12">
        <f t="shared" si="196"/>
        <v>0</v>
      </c>
      <c r="BJ90" s="12">
        <f t="shared" si="196"/>
        <v>0</v>
      </c>
      <c r="BK90" s="12">
        <f t="shared" si="196"/>
        <v>0</v>
      </c>
      <c r="BL90" s="12">
        <f t="shared" si="196"/>
        <v>0</v>
      </c>
      <c r="BM90" s="12">
        <f t="shared" si="196"/>
        <v>0</v>
      </c>
      <c r="BN90" s="12">
        <f t="shared" si="196"/>
        <v>0</v>
      </c>
      <c r="BO90" s="12">
        <f t="shared" si="196"/>
        <v>0</v>
      </c>
      <c r="BP90" s="12">
        <f t="shared" si="196"/>
        <v>0</v>
      </c>
      <c r="BQ90" s="12">
        <f t="shared" si="196"/>
        <v>0</v>
      </c>
      <c r="BR90" s="12">
        <f t="shared" si="196"/>
        <v>0</v>
      </c>
      <c r="BS90" s="12">
        <f t="shared" si="196"/>
        <v>0</v>
      </c>
      <c r="BT90" s="12">
        <f t="shared" si="196"/>
        <v>0</v>
      </c>
      <c r="BU90" s="12">
        <f t="shared" si="196"/>
        <v>0</v>
      </c>
      <c r="BV90" s="12">
        <f t="shared" si="196"/>
        <v>0</v>
      </c>
      <c r="BW90" s="12">
        <f t="shared" si="196"/>
        <v>0</v>
      </c>
      <c r="BX90" s="12">
        <f t="shared" si="196"/>
        <v>0</v>
      </c>
      <c r="BY90" s="12">
        <f t="shared" si="196"/>
        <v>0</v>
      </c>
      <c r="BZ90" s="12">
        <f t="shared" si="196"/>
        <v>0</v>
      </c>
      <c r="CA90" s="12">
        <f t="shared" si="196"/>
        <v>0</v>
      </c>
      <c r="CB90" s="12">
        <f t="shared" si="196"/>
        <v>0</v>
      </c>
      <c r="CC90" s="12">
        <f t="shared" si="196"/>
        <v>0</v>
      </c>
      <c r="CD90" s="12">
        <f t="shared" si="196"/>
        <v>0</v>
      </c>
      <c r="CE90" s="12">
        <f t="shared" si="196"/>
        <v>0</v>
      </c>
      <c r="CF90" s="12">
        <f t="shared" si="196"/>
        <v>0</v>
      </c>
      <c r="CG90" s="12">
        <f t="shared" si="196"/>
        <v>0</v>
      </c>
      <c r="CH90" s="12">
        <f t="shared" si="196"/>
        <v>0</v>
      </c>
      <c r="CI90" s="12">
        <f t="shared" si="196"/>
        <v>0</v>
      </c>
      <c r="CJ90" s="12">
        <f t="shared" si="196"/>
        <v>0</v>
      </c>
      <c r="CK90" s="12">
        <f t="shared" si="196"/>
        <v>0</v>
      </c>
      <c r="CL90" s="12">
        <f t="shared" si="196"/>
        <v>0</v>
      </c>
      <c r="CM90" s="12">
        <f t="shared" si="196"/>
        <v>0</v>
      </c>
      <c r="CN90" s="12">
        <f t="shared" si="196"/>
        <v>0</v>
      </c>
      <c r="CO90" s="12">
        <f t="shared" si="196"/>
        <v>0</v>
      </c>
      <c r="CP90" s="12">
        <f t="shared" si="196"/>
        <v>0</v>
      </c>
      <c r="CQ90" s="12">
        <f t="shared" si="196"/>
        <v>0</v>
      </c>
      <c r="CR90" s="12">
        <f t="shared" si="196"/>
        <v>0</v>
      </c>
      <c r="CS90" s="12">
        <f t="shared" si="196"/>
        <v>0</v>
      </c>
      <c r="CT90" s="12">
        <f t="shared" si="196"/>
        <v>0</v>
      </c>
      <c r="CU90" s="12">
        <f t="shared" si="196"/>
        <v>0</v>
      </c>
      <c r="CV90" s="12">
        <f t="shared" si="196"/>
        <v>0</v>
      </c>
      <c r="CW90" s="12">
        <f t="shared" si="196"/>
        <v>0</v>
      </c>
      <c r="CX90" s="12">
        <f t="shared" si="196"/>
        <v>0</v>
      </c>
      <c r="CY90" s="12">
        <f t="shared" si="196"/>
        <v>0</v>
      </c>
      <c r="CZ90" s="12">
        <f t="shared" si="196"/>
        <v>0</v>
      </c>
      <c r="DA90" s="12">
        <f t="shared" si="197"/>
        <v>0</v>
      </c>
      <c r="DB90" s="12">
        <f t="shared" si="197"/>
        <v>0</v>
      </c>
      <c r="DC90" s="12">
        <f t="shared" si="197"/>
        <v>0</v>
      </c>
      <c r="DD90" s="12">
        <f t="shared" si="197"/>
        <v>0</v>
      </c>
      <c r="DE90" s="12">
        <f t="shared" si="197"/>
        <v>0</v>
      </c>
      <c r="DF90" s="12">
        <f t="shared" si="197"/>
        <v>0</v>
      </c>
      <c r="DG90" s="12">
        <f t="shared" si="197"/>
        <v>0</v>
      </c>
      <c r="DH90" s="12">
        <f t="shared" si="197"/>
        <v>0</v>
      </c>
      <c r="DI90" s="12">
        <f t="shared" si="197"/>
        <v>0</v>
      </c>
      <c r="DJ90" s="12">
        <f t="shared" si="197"/>
        <v>0</v>
      </c>
      <c r="DK90" s="12">
        <f t="shared" si="197"/>
        <v>0</v>
      </c>
      <c r="DL90" s="12">
        <f t="shared" si="197"/>
        <v>0</v>
      </c>
      <c r="DM90" s="12">
        <f t="shared" si="197"/>
        <v>0</v>
      </c>
      <c r="DN90" s="12">
        <f t="shared" si="197"/>
        <v>0</v>
      </c>
      <c r="DO90" s="12">
        <f t="shared" si="197"/>
        <v>0</v>
      </c>
      <c r="DP90" s="12">
        <f t="shared" si="197"/>
        <v>0</v>
      </c>
      <c r="DQ90" s="12">
        <f t="shared" si="197"/>
        <v>0</v>
      </c>
      <c r="DR90" s="12">
        <f t="shared" si="197"/>
        <v>0</v>
      </c>
      <c r="DS90" s="12">
        <f t="shared" si="197"/>
        <v>0</v>
      </c>
      <c r="DT90" s="12">
        <f t="shared" si="197"/>
        <v>0</v>
      </c>
      <c r="DU90" s="12">
        <f t="shared" si="197"/>
        <v>0</v>
      </c>
      <c r="DV90" s="12">
        <f t="shared" si="197"/>
        <v>0</v>
      </c>
      <c r="DW90" s="12">
        <f t="shared" si="197"/>
        <v>0</v>
      </c>
      <c r="DX90" s="12">
        <f t="shared" si="197"/>
        <v>0</v>
      </c>
      <c r="DY90" s="12">
        <f t="shared" si="197"/>
        <v>0</v>
      </c>
      <c r="DZ90" s="12">
        <f t="shared" si="197"/>
        <v>0</v>
      </c>
      <c r="EA90" s="12">
        <f t="shared" si="197"/>
        <v>0</v>
      </c>
      <c r="EB90" s="12">
        <f t="shared" si="197"/>
        <v>0</v>
      </c>
      <c r="EC90" s="12">
        <f t="shared" si="197"/>
        <v>0</v>
      </c>
      <c r="ED90" s="12">
        <f t="shared" si="197"/>
        <v>0</v>
      </c>
      <c r="EE90" s="12">
        <f t="shared" si="197"/>
        <v>0</v>
      </c>
      <c r="EF90" s="12">
        <f t="shared" si="197"/>
        <v>0</v>
      </c>
      <c r="EG90" s="12">
        <f t="shared" si="197"/>
        <v>0</v>
      </c>
      <c r="EH90" s="12">
        <f t="shared" si="197"/>
        <v>0</v>
      </c>
      <c r="EI90" s="12">
        <f t="shared" si="197"/>
        <v>0</v>
      </c>
      <c r="EJ90" s="12">
        <f t="shared" si="197"/>
        <v>0</v>
      </c>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row>
    <row r="91" spans="1:345" x14ac:dyDescent="0.35">
      <c r="A91" s="132"/>
      <c r="B91" s="27"/>
      <c r="C91" s="170"/>
      <c r="D91" s="170"/>
      <c r="E91" s="103"/>
      <c r="F91" s="105"/>
      <c r="G91" s="36" t="str">
        <f>IFERROR(VLOOKUP(E91, 'General Project Info'!$C$30:$I$40, 7, FALSE), "")</f>
        <v/>
      </c>
      <c r="H91" s="41">
        <f>IFERROR(X91*VLOOKUP(E91, 'General Project Info'!$R$30:$T$40, 3, FALSE), 0)</f>
        <v>0</v>
      </c>
      <c r="I91" s="42">
        <f>IFERROR(IF($T91="Yes", $X91*VLOOKUP($E91, 'General Project Info'!$R$30:$W$40, 5, FALSE), 0), 0)</f>
        <v>0</v>
      </c>
      <c r="J91" s="42">
        <f>IFERROR(IF($T91="No", $X91*VLOOKUP($E91, 'General Project Info'!$R$30:$W$40, 5, FALSE), 0), 0)</f>
        <v>0</v>
      </c>
      <c r="K91" s="108"/>
      <c r="L91" s="108"/>
      <c r="M91" s="109"/>
      <c r="N91" s="109"/>
      <c r="O91" s="109"/>
      <c r="P91" s="43">
        <f t="shared" si="198"/>
        <v>0</v>
      </c>
      <c r="Q91" s="27"/>
      <c r="R91" s="132"/>
      <c r="T91" s="18" t="e">
        <f>VLOOKUP($E91, 'Unit Conversions Array'!$B$4:$Z$23, 25, FALSE)</f>
        <v>#N/A</v>
      </c>
      <c r="U91">
        <f>VLOOKUP(E91, 'General Project Info'!$R$30:$W$40, 6, FALSE)</f>
        <v>1</v>
      </c>
      <c r="V91" s="18">
        <f t="shared" si="199"/>
        <v>0</v>
      </c>
      <c r="W91" s="18">
        <f>IFERROR(F91*INDEX('Unit Conversions Array'!$E$4:$Y$23, MATCH('Scenarios &amp; Measures'!E91, 'Unit Conversions Array'!$B$4:$B$23, 0), MATCH('Scenarios &amp; Measures'!G91, 'Unit Conversions Array'!$E$3:$Y$3, 0)), 0)</f>
        <v>0</v>
      </c>
      <c r="X91" s="19">
        <f t="shared" si="200"/>
        <v>0</v>
      </c>
      <c r="Y91" s="19">
        <f t="shared" si="201"/>
        <v>0</v>
      </c>
      <c r="Z91" s="19">
        <f t="shared" si="202"/>
        <v>0</v>
      </c>
      <c r="AA91" s="17">
        <f>IFERROR(ROUNDDOWN(($X$10-(K91-AD91))/K91, 0)*K91+(K91-AD91), 0)</f>
        <v>0</v>
      </c>
      <c r="AB91" s="17">
        <f t="shared" si="203"/>
        <v>20</v>
      </c>
      <c r="AC91" s="17">
        <f t="shared" si="204"/>
        <v>-20</v>
      </c>
      <c r="AD91" s="17">
        <f t="shared" si="205"/>
        <v>0</v>
      </c>
      <c r="AE91" s="18">
        <f t="shared" si="206"/>
        <v>0</v>
      </c>
      <c r="AF91" s="19">
        <f t="shared" si="194"/>
        <v>0</v>
      </c>
      <c r="AG91" s="12">
        <f t="shared" si="195"/>
        <v>0</v>
      </c>
      <c r="AH91" s="17">
        <f t="shared" si="207"/>
        <v>0</v>
      </c>
      <c r="AI91" s="23">
        <f>IF($V$10="RECs", -Y91/VLOOKUP("RECs", 'General Project Info'!$R$30:$W$40, 5, FALSE)*$V$11*IF($X$11=$Z$12, $X$10, (1/($Z$12-$X$11))*(1-($X$11/$Z$12)^$X$10)*$Z$12), 0)</f>
        <v>0</v>
      </c>
      <c r="AJ91" s="17">
        <f t="shared" si="208"/>
        <v>0</v>
      </c>
      <c r="AK91" s="17">
        <f t="shared" si="209"/>
        <v>0</v>
      </c>
      <c r="AL91" s="17">
        <f t="shared" si="210"/>
        <v>0</v>
      </c>
      <c r="AN91" s="12">
        <f t="shared" si="211"/>
        <v>0</v>
      </c>
      <c r="AO91" s="12">
        <f t="shared" ref="AO91:CZ94" si="212">IFERROR(IF(AO$38&gt;=$X$10, 0, IF(MOD($AD91+AO$38, $K91)=0, (($M91-$N91)*$Z$11^AO$38), 0)), 0)</f>
        <v>0</v>
      </c>
      <c r="AP91" s="12">
        <f t="shared" si="212"/>
        <v>0</v>
      </c>
      <c r="AQ91" s="12">
        <f t="shared" si="212"/>
        <v>0</v>
      </c>
      <c r="AR91" s="12">
        <f t="shared" si="212"/>
        <v>0</v>
      </c>
      <c r="AS91" s="12">
        <f t="shared" si="212"/>
        <v>0</v>
      </c>
      <c r="AT91" s="12">
        <f t="shared" si="212"/>
        <v>0</v>
      </c>
      <c r="AU91" s="12">
        <f t="shared" si="212"/>
        <v>0</v>
      </c>
      <c r="AV91" s="12">
        <f t="shared" si="212"/>
        <v>0</v>
      </c>
      <c r="AW91" s="12">
        <f t="shared" si="212"/>
        <v>0</v>
      </c>
      <c r="AX91" s="12">
        <f t="shared" si="212"/>
        <v>0</v>
      </c>
      <c r="AY91" s="12">
        <f t="shared" si="212"/>
        <v>0</v>
      </c>
      <c r="AZ91" s="12">
        <f t="shared" si="212"/>
        <v>0</v>
      </c>
      <c r="BA91" s="12">
        <f t="shared" si="212"/>
        <v>0</v>
      </c>
      <c r="BB91" s="12">
        <f t="shared" si="212"/>
        <v>0</v>
      </c>
      <c r="BC91" s="12">
        <f t="shared" si="212"/>
        <v>0</v>
      </c>
      <c r="BD91" s="12">
        <f t="shared" si="212"/>
        <v>0</v>
      </c>
      <c r="BE91" s="12">
        <f t="shared" si="212"/>
        <v>0</v>
      </c>
      <c r="BF91" s="12">
        <f t="shared" si="212"/>
        <v>0</v>
      </c>
      <c r="BG91" s="12">
        <f t="shared" si="212"/>
        <v>0</v>
      </c>
      <c r="BH91" s="12">
        <f t="shared" si="212"/>
        <v>0</v>
      </c>
      <c r="BI91" s="12">
        <f t="shared" si="212"/>
        <v>0</v>
      </c>
      <c r="BJ91" s="12">
        <f t="shared" si="212"/>
        <v>0</v>
      </c>
      <c r="BK91" s="12">
        <f t="shared" si="212"/>
        <v>0</v>
      </c>
      <c r="BL91" s="12">
        <f t="shared" si="212"/>
        <v>0</v>
      </c>
      <c r="BM91" s="12">
        <f t="shared" si="212"/>
        <v>0</v>
      </c>
      <c r="BN91" s="12">
        <f t="shared" si="212"/>
        <v>0</v>
      </c>
      <c r="BO91" s="12">
        <f t="shared" si="212"/>
        <v>0</v>
      </c>
      <c r="BP91" s="12">
        <f t="shared" si="212"/>
        <v>0</v>
      </c>
      <c r="BQ91" s="12">
        <f t="shared" si="212"/>
        <v>0</v>
      </c>
      <c r="BR91" s="12">
        <f t="shared" si="212"/>
        <v>0</v>
      </c>
      <c r="BS91" s="12">
        <f t="shared" si="212"/>
        <v>0</v>
      </c>
      <c r="BT91" s="12">
        <f t="shared" si="212"/>
        <v>0</v>
      </c>
      <c r="BU91" s="12">
        <f t="shared" si="212"/>
        <v>0</v>
      </c>
      <c r="BV91" s="12">
        <f t="shared" si="212"/>
        <v>0</v>
      </c>
      <c r="BW91" s="12">
        <f t="shared" si="212"/>
        <v>0</v>
      </c>
      <c r="BX91" s="12">
        <f t="shared" si="212"/>
        <v>0</v>
      </c>
      <c r="BY91" s="12">
        <f t="shared" si="212"/>
        <v>0</v>
      </c>
      <c r="BZ91" s="12">
        <f t="shared" si="212"/>
        <v>0</v>
      </c>
      <c r="CA91" s="12">
        <f t="shared" si="212"/>
        <v>0</v>
      </c>
      <c r="CB91" s="12">
        <f t="shared" si="212"/>
        <v>0</v>
      </c>
      <c r="CC91" s="12">
        <f t="shared" si="212"/>
        <v>0</v>
      </c>
      <c r="CD91" s="12">
        <f t="shared" si="212"/>
        <v>0</v>
      </c>
      <c r="CE91" s="12">
        <f t="shared" si="212"/>
        <v>0</v>
      </c>
      <c r="CF91" s="12">
        <f t="shared" si="212"/>
        <v>0</v>
      </c>
      <c r="CG91" s="12">
        <f t="shared" si="212"/>
        <v>0</v>
      </c>
      <c r="CH91" s="12">
        <f t="shared" si="212"/>
        <v>0</v>
      </c>
      <c r="CI91" s="12">
        <f t="shared" si="212"/>
        <v>0</v>
      </c>
      <c r="CJ91" s="12">
        <f t="shared" si="212"/>
        <v>0</v>
      </c>
      <c r="CK91" s="12">
        <f t="shared" si="212"/>
        <v>0</v>
      </c>
      <c r="CL91" s="12">
        <f t="shared" si="212"/>
        <v>0</v>
      </c>
      <c r="CM91" s="12">
        <f t="shared" si="212"/>
        <v>0</v>
      </c>
      <c r="CN91" s="12">
        <f t="shared" si="212"/>
        <v>0</v>
      </c>
      <c r="CO91" s="12">
        <f t="shared" si="212"/>
        <v>0</v>
      </c>
      <c r="CP91" s="12">
        <f t="shared" si="212"/>
        <v>0</v>
      </c>
      <c r="CQ91" s="12">
        <f t="shared" si="212"/>
        <v>0</v>
      </c>
      <c r="CR91" s="12">
        <f t="shared" si="212"/>
        <v>0</v>
      </c>
      <c r="CS91" s="12">
        <f t="shared" si="212"/>
        <v>0</v>
      </c>
      <c r="CT91" s="12">
        <f t="shared" si="212"/>
        <v>0</v>
      </c>
      <c r="CU91" s="12">
        <f t="shared" si="212"/>
        <v>0</v>
      </c>
      <c r="CV91" s="12">
        <f t="shared" si="212"/>
        <v>0</v>
      </c>
      <c r="CW91" s="12">
        <f t="shared" si="212"/>
        <v>0</v>
      </c>
      <c r="CX91" s="12">
        <f t="shared" si="212"/>
        <v>0</v>
      </c>
      <c r="CY91" s="12">
        <f t="shared" si="212"/>
        <v>0</v>
      </c>
      <c r="CZ91" s="12">
        <f t="shared" si="212"/>
        <v>0</v>
      </c>
      <c r="DA91" s="12">
        <f t="shared" si="197"/>
        <v>0</v>
      </c>
      <c r="DB91" s="12">
        <f t="shared" si="197"/>
        <v>0</v>
      </c>
      <c r="DC91" s="12">
        <f t="shared" si="197"/>
        <v>0</v>
      </c>
      <c r="DD91" s="12">
        <f t="shared" si="197"/>
        <v>0</v>
      </c>
      <c r="DE91" s="12">
        <f t="shared" si="197"/>
        <v>0</v>
      </c>
      <c r="DF91" s="12">
        <f t="shared" si="197"/>
        <v>0</v>
      </c>
      <c r="DG91" s="12">
        <f t="shared" si="197"/>
        <v>0</v>
      </c>
      <c r="DH91" s="12">
        <f t="shared" si="197"/>
        <v>0</v>
      </c>
      <c r="DI91" s="12">
        <f t="shared" si="197"/>
        <v>0</v>
      </c>
      <c r="DJ91" s="12">
        <f t="shared" si="197"/>
        <v>0</v>
      </c>
      <c r="DK91" s="12">
        <f t="shared" si="197"/>
        <v>0</v>
      </c>
      <c r="DL91" s="12">
        <f t="shared" si="197"/>
        <v>0</v>
      </c>
      <c r="DM91" s="12">
        <f t="shared" si="197"/>
        <v>0</v>
      </c>
      <c r="DN91" s="12">
        <f t="shared" si="197"/>
        <v>0</v>
      </c>
      <c r="DO91" s="12">
        <f t="shared" si="197"/>
        <v>0</v>
      </c>
      <c r="DP91" s="12">
        <f t="shared" si="197"/>
        <v>0</v>
      </c>
      <c r="DQ91" s="12">
        <f t="shared" si="197"/>
        <v>0</v>
      </c>
      <c r="DR91" s="12">
        <f t="shared" si="197"/>
        <v>0</v>
      </c>
      <c r="DS91" s="12">
        <f t="shared" si="197"/>
        <v>0</v>
      </c>
      <c r="DT91" s="12">
        <f t="shared" si="197"/>
        <v>0</v>
      </c>
      <c r="DU91" s="12">
        <f t="shared" si="197"/>
        <v>0</v>
      </c>
      <c r="DV91" s="12">
        <f t="shared" si="197"/>
        <v>0</v>
      </c>
      <c r="DW91" s="12">
        <f t="shared" si="197"/>
        <v>0</v>
      </c>
      <c r="DX91" s="12">
        <f t="shared" si="197"/>
        <v>0</v>
      </c>
      <c r="DY91" s="12">
        <f t="shared" si="197"/>
        <v>0</v>
      </c>
      <c r="DZ91" s="12">
        <f t="shared" si="197"/>
        <v>0</v>
      </c>
      <c r="EA91" s="12">
        <f t="shared" si="197"/>
        <v>0</v>
      </c>
      <c r="EB91" s="12">
        <f t="shared" si="197"/>
        <v>0</v>
      </c>
      <c r="EC91" s="12">
        <f t="shared" si="197"/>
        <v>0</v>
      </c>
      <c r="ED91" s="12">
        <f t="shared" si="197"/>
        <v>0</v>
      </c>
      <c r="EE91" s="12">
        <f t="shared" si="197"/>
        <v>0</v>
      </c>
      <c r="EF91" s="12">
        <f t="shared" si="197"/>
        <v>0</v>
      </c>
      <c r="EG91" s="12">
        <f t="shared" si="197"/>
        <v>0</v>
      </c>
      <c r="EH91" s="12">
        <f t="shared" si="197"/>
        <v>0</v>
      </c>
      <c r="EI91" s="12">
        <f t="shared" si="197"/>
        <v>0</v>
      </c>
      <c r="EJ91" s="12">
        <f t="shared" si="197"/>
        <v>0</v>
      </c>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row>
    <row r="92" spans="1:345" x14ac:dyDescent="0.35">
      <c r="A92" s="132"/>
      <c r="B92" s="27"/>
      <c r="C92" s="170"/>
      <c r="D92" s="170"/>
      <c r="E92" s="103"/>
      <c r="F92" s="105"/>
      <c r="G92" s="36" t="str">
        <f>IFERROR(VLOOKUP(E92, 'General Project Info'!$C$30:$I$40, 7, FALSE), "")</f>
        <v/>
      </c>
      <c r="H92" s="41">
        <f>IFERROR(X92*VLOOKUP(E92, 'General Project Info'!$R$30:$T$40, 3, FALSE), 0)</f>
        <v>0</v>
      </c>
      <c r="I92" s="42">
        <f>IFERROR(IF($T92="Yes", $X92*VLOOKUP($E92, 'General Project Info'!$R$30:$W$40, 5, FALSE), 0), 0)</f>
        <v>0</v>
      </c>
      <c r="J92" s="42">
        <f>IFERROR(IF($T92="No", $X92*VLOOKUP($E92, 'General Project Info'!$R$30:$W$40, 5, FALSE), 0), 0)</f>
        <v>0</v>
      </c>
      <c r="K92" s="108"/>
      <c r="L92" s="108"/>
      <c r="M92" s="109"/>
      <c r="N92" s="109"/>
      <c r="O92" s="109"/>
      <c r="P92" s="43">
        <f t="shared" si="198"/>
        <v>0</v>
      </c>
      <c r="Q92" s="27"/>
      <c r="R92" s="132"/>
      <c r="T92" s="18" t="e">
        <f>VLOOKUP($E92, 'Unit Conversions Array'!$B$4:$Z$23, 25, FALSE)</f>
        <v>#N/A</v>
      </c>
      <c r="U92">
        <f>VLOOKUP(E92, 'General Project Info'!$R$30:$W$40, 6, FALSE)</f>
        <v>1</v>
      </c>
      <c r="V92" s="18">
        <f t="shared" si="199"/>
        <v>0</v>
      </c>
      <c r="W92" s="18">
        <f>IFERROR(F92*INDEX('Unit Conversions Array'!$E$4:$Y$23, MATCH('Scenarios &amp; Measures'!E92, 'Unit Conversions Array'!$B$4:$B$23, 0), MATCH('Scenarios &amp; Measures'!G92, 'Unit Conversions Array'!$E$3:$Y$3, 0)), 0)</f>
        <v>0</v>
      </c>
      <c r="X92" s="19">
        <f t="shared" si="200"/>
        <v>0</v>
      </c>
      <c r="Y92" s="19">
        <f t="shared" si="201"/>
        <v>0</v>
      </c>
      <c r="Z92" s="19">
        <f t="shared" si="202"/>
        <v>0</v>
      </c>
      <c r="AA92" s="17">
        <f t="shared" ref="AA92:AA102" si="213">IFERROR(ROUNDDOWN(($X$10-(K92-L92))/K92, 0)*K92+(K92-L92), 0)</f>
        <v>0</v>
      </c>
      <c r="AB92" s="17">
        <f t="shared" si="203"/>
        <v>20</v>
      </c>
      <c r="AC92" s="17">
        <f t="shared" si="204"/>
        <v>-20</v>
      </c>
      <c r="AD92" s="17">
        <f t="shared" si="205"/>
        <v>0</v>
      </c>
      <c r="AE92" s="18">
        <f t="shared" si="206"/>
        <v>0</v>
      </c>
      <c r="AF92" s="19">
        <f t="shared" si="194"/>
        <v>0</v>
      </c>
      <c r="AG92" s="12">
        <f t="shared" si="195"/>
        <v>0</v>
      </c>
      <c r="AH92" s="17">
        <f t="shared" si="207"/>
        <v>0</v>
      </c>
      <c r="AI92" s="23">
        <f>IF($V$10="RECs", -Y92/VLOOKUP("RECs", 'General Project Info'!$R$30:$W$40, 5, FALSE)*$V$11*IF($X$11=$Z$12, $X$10, (1/($Z$12-$X$11))*(1-($X$11/$Z$12)^$X$10)*$Z$12), 0)</f>
        <v>0</v>
      </c>
      <c r="AJ92" s="17">
        <f t="shared" si="208"/>
        <v>0</v>
      </c>
      <c r="AK92" s="17">
        <f t="shared" si="209"/>
        <v>0</v>
      </c>
      <c r="AL92" s="17">
        <f t="shared" si="210"/>
        <v>0</v>
      </c>
      <c r="AN92" s="12">
        <f t="shared" si="211"/>
        <v>0</v>
      </c>
      <c r="AO92" s="12">
        <f t="shared" si="212"/>
        <v>0</v>
      </c>
      <c r="AP92" s="12">
        <f t="shared" si="212"/>
        <v>0</v>
      </c>
      <c r="AQ92" s="12">
        <f t="shared" si="212"/>
        <v>0</v>
      </c>
      <c r="AR92" s="12">
        <f t="shared" si="212"/>
        <v>0</v>
      </c>
      <c r="AS92" s="12">
        <f t="shared" si="212"/>
        <v>0</v>
      </c>
      <c r="AT92" s="12">
        <f t="shared" si="212"/>
        <v>0</v>
      </c>
      <c r="AU92" s="12">
        <f t="shared" si="212"/>
        <v>0</v>
      </c>
      <c r="AV92" s="12">
        <f t="shared" si="212"/>
        <v>0</v>
      </c>
      <c r="AW92" s="12">
        <f t="shared" si="212"/>
        <v>0</v>
      </c>
      <c r="AX92" s="12">
        <f t="shared" si="212"/>
        <v>0</v>
      </c>
      <c r="AY92" s="12">
        <f t="shared" si="212"/>
        <v>0</v>
      </c>
      <c r="AZ92" s="12">
        <f t="shared" si="212"/>
        <v>0</v>
      </c>
      <c r="BA92" s="12">
        <f t="shared" si="212"/>
        <v>0</v>
      </c>
      <c r="BB92" s="12">
        <f t="shared" si="212"/>
        <v>0</v>
      </c>
      <c r="BC92" s="12">
        <f t="shared" si="212"/>
        <v>0</v>
      </c>
      <c r="BD92" s="12">
        <f t="shared" si="212"/>
        <v>0</v>
      </c>
      <c r="BE92" s="12">
        <f t="shared" si="212"/>
        <v>0</v>
      </c>
      <c r="BF92" s="12">
        <f t="shared" si="212"/>
        <v>0</v>
      </c>
      <c r="BG92" s="12">
        <f t="shared" si="212"/>
        <v>0</v>
      </c>
      <c r="BH92" s="12">
        <f t="shared" si="212"/>
        <v>0</v>
      </c>
      <c r="BI92" s="12">
        <f t="shared" si="212"/>
        <v>0</v>
      </c>
      <c r="BJ92" s="12">
        <f t="shared" si="212"/>
        <v>0</v>
      </c>
      <c r="BK92" s="12">
        <f t="shared" si="212"/>
        <v>0</v>
      </c>
      <c r="BL92" s="12">
        <f t="shared" si="212"/>
        <v>0</v>
      </c>
      <c r="BM92" s="12">
        <f t="shared" si="212"/>
        <v>0</v>
      </c>
      <c r="BN92" s="12">
        <f t="shared" si="212"/>
        <v>0</v>
      </c>
      <c r="BO92" s="12">
        <f t="shared" si="212"/>
        <v>0</v>
      </c>
      <c r="BP92" s="12">
        <f t="shared" si="212"/>
        <v>0</v>
      </c>
      <c r="BQ92" s="12">
        <f t="shared" si="212"/>
        <v>0</v>
      </c>
      <c r="BR92" s="12">
        <f t="shared" si="212"/>
        <v>0</v>
      </c>
      <c r="BS92" s="12">
        <f t="shared" si="212"/>
        <v>0</v>
      </c>
      <c r="BT92" s="12">
        <f t="shared" si="212"/>
        <v>0</v>
      </c>
      <c r="BU92" s="12">
        <f t="shared" si="212"/>
        <v>0</v>
      </c>
      <c r="BV92" s="12">
        <f t="shared" si="212"/>
        <v>0</v>
      </c>
      <c r="BW92" s="12">
        <f t="shared" si="212"/>
        <v>0</v>
      </c>
      <c r="BX92" s="12">
        <f t="shared" si="212"/>
        <v>0</v>
      </c>
      <c r="BY92" s="12">
        <f t="shared" si="212"/>
        <v>0</v>
      </c>
      <c r="BZ92" s="12">
        <f t="shared" si="212"/>
        <v>0</v>
      </c>
      <c r="CA92" s="12">
        <f t="shared" si="212"/>
        <v>0</v>
      </c>
      <c r="CB92" s="12">
        <f t="shared" si="212"/>
        <v>0</v>
      </c>
      <c r="CC92" s="12">
        <f t="shared" si="212"/>
        <v>0</v>
      </c>
      <c r="CD92" s="12">
        <f t="shared" si="212"/>
        <v>0</v>
      </c>
      <c r="CE92" s="12">
        <f t="shared" si="212"/>
        <v>0</v>
      </c>
      <c r="CF92" s="12">
        <f t="shared" si="212"/>
        <v>0</v>
      </c>
      <c r="CG92" s="12">
        <f t="shared" si="212"/>
        <v>0</v>
      </c>
      <c r="CH92" s="12">
        <f t="shared" si="212"/>
        <v>0</v>
      </c>
      <c r="CI92" s="12">
        <f t="shared" si="212"/>
        <v>0</v>
      </c>
      <c r="CJ92" s="12">
        <f t="shared" si="212"/>
        <v>0</v>
      </c>
      <c r="CK92" s="12">
        <f t="shared" si="212"/>
        <v>0</v>
      </c>
      <c r="CL92" s="12">
        <f t="shared" si="212"/>
        <v>0</v>
      </c>
      <c r="CM92" s="12">
        <f t="shared" si="212"/>
        <v>0</v>
      </c>
      <c r="CN92" s="12">
        <f t="shared" si="212"/>
        <v>0</v>
      </c>
      <c r="CO92" s="12">
        <f t="shared" si="212"/>
        <v>0</v>
      </c>
      <c r="CP92" s="12">
        <f t="shared" si="212"/>
        <v>0</v>
      </c>
      <c r="CQ92" s="12">
        <f t="shared" si="212"/>
        <v>0</v>
      </c>
      <c r="CR92" s="12">
        <f t="shared" si="212"/>
        <v>0</v>
      </c>
      <c r="CS92" s="12">
        <f t="shared" si="212"/>
        <v>0</v>
      </c>
      <c r="CT92" s="12">
        <f t="shared" si="212"/>
        <v>0</v>
      </c>
      <c r="CU92" s="12">
        <f t="shared" si="212"/>
        <v>0</v>
      </c>
      <c r="CV92" s="12">
        <f t="shared" si="212"/>
        <v>0</v>
      </c>
      <c r="CW92" s="12">
        <f t="shared" si="212"/>
        <v>0</v>
      </c>
      <c r="CX92" s="12">
        <f t="shared" si="212"/>
        <v>0</v>
      </c>
      <c r="CY92" s="12">
        <f t="shared" si="212"/>
        <v>0</v>
      </c>
      <c r="CZ92" s="12">
        <f t="shared" si="212"/>
        <v>0</v>
      </c>
      <c r="DA92" s="12">
        <f t="shared" si="197"/>
        <v>0</v>
      </c>
      <c r="DB92" s="12">
        <f t="shared" si="197"/>
        <v>0</v>
      </c>
      <c r="DC92" s="12">
        <f t="shared" si="197"/>
        <v>0</v>
      </c>
      <c r="DD92" s="12">
        <f t="shared" si="197"/>
        <v>0</v>
      </c>
      <c r="DE92" s="12">
        <f t="shared" si="197"/>
        <v>0</v>
      </c>
      <c r="DF92" s="12">
        <f t="shared" si="197"/>
        <v>0</v>
      </c>
      <c r="DG92" s="12">
        <f t="shared" si="197"/>
        <v>0</v>
      </c>
      <c r="DH92" s="12">
        <f t="shared" si="197"/>
        <v>0</v>
      </c>
      <c r="DI92" s="12">
        <f t="shared" si="197"/>
        <v>0</v>
      </c>
      <c r="DJ92" s="12">
        <f t="shared" si="197"/>
        <v>0</v>
      </c>
      <c r="DK92" s="12">
        <f t="shared" si="197"/>
        <v>0</v>
      </c>
      <c r="DL92" s="12">
        <f t="shared" si="197"/>
        <v>0</v>
      </c>
      <c r="DM92" s="12">
        <f t="shared" si="197"/>
        <v>0</v>
      </c>
      <c r="DN92" s="12">
        <f t="shared" si="197"/>
        <v>0</v>
      </c>
      <c r="DO92" s="12">
        <f t="shared" si="197"/>
        <v>0</v>
      </c>
      <c r="DP92" s="12">
        <f t="shared" si="197"/>
        <v>0</v>
      </c>
      <c r="DQ92" s="12">
        <f t="shared" si="197"/>
        <v>0</v>
      </c>
      <c r="DR92" s="12">
        <f t="shared" si="197"/>
        <v>0</v>
      </c>
      <c r="DS92" s="12">
        <f t="shared" si="197"/>
        <v>0</v>
      </c>
      <c r="DT92" s="12">
        <f t="shared" si="197"/>
        <v>0</v>
      </c>
      <c r="DU92" s="12">
        <f t="shared" si="197"/>
        <v>0</v>
      </c>
      <c r="DV92" s="12">
        <f t="shared" si="197"/>
        <v>0</v>
      </c>
      <c r="DW92" s="12">
        <f t="shared" si="197"/>
        <v>0</v>
      </c>
      <c r="DX92" s="12">
        <f t="shared" si="197"/>
        <v>0</v>
      </c>
      <c r="DY92" s="12">
        <f t="shared" si="197"/>
        <v>0</v>
      </c>
      <c r="DZ92" s="12">
        <f t="shared" si="197"/>
        <v>0</v>
      </c>
      <c r="EA92" s="12">
        <f t="shared" si="197"/>
        <v>0</v>
      </c>
      <c r="EB92" s="12">
        <f t="shared" si="197"/>
        <v>0</v>
      </c>
      <c r="EC92" s="12">
        <f t="shared" si="197"/>
        <v>0</v>
      </c>
      <c r="ED92" s="12">
        <f t="shared" si="197"/>
        <v>0</v>
      </c>
      <c r="EE92" s="12">
        <f t="shared" si="197"/>
        <v>0</v>
      </c>
      <c r="EF92" s="12">
        <f t="shared" si="197"/>
        <v>0</v>
      </c>
      <c r="EG92" s="12">
        <f t="shared" si="197"/>
        <v>0</v>
      </c>
      <c r="EH92" s="12">
        <f t="shared" si="197"/>
        <v>0</v>
      </c>
      <c r="EI92" s="12">
        <f t="shared" si="197"/>
        <v>0</v>
      </c>
      <c r="EJ92" s="12">
        <f t="shared" si="197"/>
        <v>0</v>
      </c>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row>
    <row r="93" spans="1:345" x14ac:dyDescent="0.35">
      <c r="A93" s="132"/>
      <c r="B93" s="27"/>
      <c r="C93" s="170"/>
      <c r="D93" s="170"/>
      <c r="E93" s="103"/>
      <c r="F93" s="105"/>
      <c r="G93" s="36" t="str">
        <f>IFERROR(VLOOKUP(E93, 'General Project Info'!$C$30:$I$40, 7, FALSE), "")</f>
        <v/>
      </c>
      <c r="H93" s="41">
        <f>IFERROR(X93*VLOOKUP(E93, 'General Project Info'!$R$30:$T$40, 3, FALSE), 0)</f>
        <v>0</v>
      </c>
      <c r="I93" s="42">
        <f>IFERROR(IF($T93="Yes", $X93*VLOOKUP($E93, 'General Project Info'!$R$30:$W$40, 5, FALSE), 0), 0)</f>
        <v>0</v>
      </c>
      <c r="J93" s="42">
        <f>IFERROR(IF($T93="No", $X93*VLOOKUP($E93, 'General Project Info'!$R$30:$W$40, 5, FALSE), 0), 0)</f>
        <v>0</v>
      </c>
      <c r="K93" s="108"/>
      <c r="L93" s="108"/>
      <c r="M93" s="109"/>
      <c r="N93" s="109"/>
      <c r="O93" s="109"/>
      <c r="P93" s="43">
        <f t="shared" si="198"/>
        <v>0</v>
      </c>
      <c r="Q93" s="27"/>
      <c r="R93" s="132"/>
      <c r="T93" s="18" t="e">
        <f>VLOOKUP($E93, 'Unit Conversions Array'!$B$4:$Z$23, 25, FALSE)</f>
        <v>#N/A</v>
      </c>
      <c r="U93">
        <f>VLOOKUP(E93, 'General Project Info'!$R$30:$W$40, 6, FALSE)</f>
        <v>1</v>
      </c>
      <c r="V93" s="18">
        <f t="shared" si="199"/>
        <v>0</v>
      </c>
      <c r="W93" s="18">
        <f>IFERROR(F93*INDEX('Unit Conversions Array'!$E$4:$Y$23, MATCH('Scenarios &amp; Measures'!E93, 'Unit Conversions Array'!$B$4:$B$23, 0), MATCH('Scenarios &amp; Measures'!G93, 'Unit Conversions Array'!$E$3:$Y$3, 0)), 0)</f>
        <v>0</v>
      </c>
      <c r="X93" s="19">
        <f t="shared" si="200"/>
        <v>0</v>
      </c>
      <c r="Y93" s="19">
        <f t="shared" si="201"/>
        <v>0</v>
      </c>
      <c r="Z93" s="19">
        <f t="shared" si="202"/>
        <v>0</v>
      </c>
      <c r="AA93" s="17">
        <f t="shared" si="213"/>
        <v>0</v>
      </c>
      <c r="AB93" s="17">
        <f t="shared" si="203"/>
        <v>20</v>
      </c>
      <c r="AC93" s="17">
        <f t="shared" si="204"/>
        <v>-20</v>
      </c>
      <c r="AD93" s="17">
        <f t="shared" si="205"/>
        <v>0</v>
      </c>
      <c r="AE93" s="18">
        <f t="shared" si="206"/>
        <v>0</v>
      </c>
      <c r="AF93" s="19">
        <f t="shared" si="194"/>
        <v>0</v>
      </c>
      <c r="AG93" s="12">
        <f t="shared" si="195"/>
        <v>0</v>
      </c>
      <c r="AH93" s="17">
        <f t="shared" si="207"/>
        <v>0</v>
      </c>
      <c r="AI93" s="23">
        <f>IF($V$10="RECs", -Y93/VLOOKUP("RECs", 'General Project Info'!$R$30:$W$40, 5, FALSE)*$V$11*IF($X$11=$Z$12, $X$10, (1/($Z$12-$X$11))*(1-($X$11/$Z$12)^$X$10)*$Z$12), 0)</f>
        <v>0</v>
      </c>
      <c r="AJ93" s="17">
        <f t="shared" si="208"/>
        <v>0</v>
      </c>
      <c r="AK93" s="17">
        <f t="shared" si="209"/>
        <v>0</v>
      </c>
      <c r="AL93" s="17">
        <f t="shared" si="210"/>
        <v>0</v>
      </c>
      <c r="AN93" s="12">
        <f t="shared" si="211"/>
        <v>0</v>
      </c>
      <c r="AO93" s="12">
        <f t="shared" si="212"/>
        <v>0</v>
      </c>
      <c r="AP93" s="12">
        <f t="shared" si="212"/>
        <v>0</v>
      </c>
      <c r="AQ93" s="12">
        <f t="shared" si="212"/>
        <v>0</v>
      </c>
      <c r="AR93" s="12">
        <f t="shared" si="212"/>
        <v>0</v>
      </c>
      <c r="AS93" s="12">
        <f t="shared" si="212"/>
        <v>0</v>
      </c>
      <c r="AT93" s="12">
        <f t="shared" si="212"/>
        <v>0</v>
      </c>
      <c r="AU93" s="12">
        <f t="shared" si="212"/>
        <v>0</v>
      </c>
      <c r="AV93" s="12">
        <f t="shared" si="212"/>
        <v>0</v>
      </c>
      <c r="AW93" s="12">
        <f t="shared" si="212"/>
        <v>0</v>
      </c>
      <c r="AX93" s="12">
        <f t="shared" si="212"/>
        <v>0</v>
      </c>
      <c r="AY93" s="12">
        <f t="shared" si="212"/>
        <v>0</v>
      </c>
      <c r="AZ93" s="12">
        <f t="shared" si="212"/>
        <v>0</v>
      </c>
      <c r="BA93" s="12">
        <f t="shared" si="212"/>
        <v>0</v>
      </c>
      <c r="BB93" s="12">
        <f t="shared" si="212"/>
        <v>0</v>
      </c>
      <c r="BC93" s="12">
        <f t="shared" si="212"/>
        <v>0</v>
      </c>
      <c r="BD93" s="12">
        <f t="shared" si="212"/>
        <v>0</v>
      </c>
      <c r="BE93" s="12">
        <f t="shared" si="212"/>
        <v>0</v>
      </c>
      <c r="BF93" s="12">
        <f t="shared" si="212"/>
        <v>0</v>
      </c>
      <c r="BG93" s="12">
        <f t="shared" si="212"/>
        <v>0</v>
      </c>
      <c r="BH93" s="12">
        <f t="shared" si="212"/>
        <v>0</v>
      </c>
      <c r="BI93" s="12">
        <f t="shared" si="212"/>
        <v>0</v>
      </c>
      <c r="BJ93" s="12">
        <f t="shared" si="212"/>
        <v>0</v>
      </c>
      <c r="BK93" s="12">
        <f t="shared" si="212"/>
        <v>0</v>
      </c>
      <c r="BL93" s="12">
        <f t="shared" si="212"/>
        <v>0</v>
      </c>
      <c r="BM93" s="12">
        <f t="shared" si="212"/>
        <v>0</v>
      </c>
      <c r="BN93" s="12">
        <f t="shared" si="212"/>
        <v>0</v>
      </c>
      <c r="BO93" s="12">
        <f t="shared" si="212"/>
        <v>0</v>
      </c>
      <c r="BP93" s="12">
        <f t="shared" si="212"/>
        <v>0</v>
      </c>
      <c r="BQ93" s="12">
        <f t="shared" si="212"/>
        <v>0</v>
      </c>
      <c r="BR93" s="12">
        <f t="shared" si="212"/>
        <v>0</v>
      </c>
      <c r="BS93" s="12">
        <f t="shared" si="212"/>
        <v>0</v>
      </c>
      <c r="BT93" s="12">
        <f t="shared" si="212"/>
        <v>0</v>
      </c>
      <c r="BU93" s="12">
        <f t="shared" si="212"/>
        <v>0</v>
      </c>
      <c r="BV93" s="12">
        <f t="shared" si="212"/>
        <v>0</v>
      </c>
      <c r="BW93" s="12">
        <f t="shared" si="212"/>
        <v>0</v>
      </c>
      <c r="BX93" s="12">
        <f t="shared" si="212"/>
        <v>0</v>
      </c>
      <c r="BY93" s="12">
        <f t="shared" si="212"/>
        <v>0</v>
      </c>
      <c r="BZ93" s="12">
        <f t="shared" si="212"/>
        <v>0</v>
      </c>
      <c r="CA93" s="12">
        <f t="shared" si="212"/>
        <v>0</v>
      </c>
      <c r="CB93" s="12">
        <f t="shared" si="212"/>
        <v>0</v>
      </c>
      <c r="CC93" s="12">
        <f t="shared" si="212"/>
        <v>0</v>
      </c>
      <c r="CD93" s="12">
        <f t="shared" si="212"/>
        <v>0</v>
      </c>
      <c r="CE93" s="12">
        <f t="shared" si="212"/>
        <v>0</v>
      </c>
      <c r="CF93" s="12">
        <f t="shared" si="212"/>
        <v>0</v>
      </c>
      <c r="CG93" s="12">
        <f t="shared" si="212"/>
        <v>0</v>
      </c>
      <c r="CH93" s="12">
        <f t="shared" si="212"/>
        <v>0</v>
      </c>
      <c r="CI93" s="12">
        <f t="shared" si="212"/>
        <v>0</v>
      </c>
      <c r="CJ93" s="12">
        <f t="shared" si="212"/>
        <v>0</v>
      </c>
      <c r="CK93" s="12">
        <f t="shared" si="212"/>
        <v>0</v>
      </c>
      <c r="CL93" s="12">
        <f t="shared" si="212"/>
        <v>0</v>
      </c>
      <c r="CM93" s="12">
        <f t="shared" si="212"/>
        <v>0</v>
      </c>
      <c r="CN93" s="12">
        <f t="shared" si="212"/>
        <v>0</v>
      </c>
      <c r="CO93" s="12">
        <f t="shared" si="212"/>
        <v>0</v>
      </c>
      <c r="CP93" s="12">
        <f t="shared" si="212"/>
        <v>0</v>
      </c>
      <c r="CQ93" s="12">
        <f t="shared" si="212"/>
        <v>0</v>
      </c>
      <c r="CR93" s="12">
        <f t="shared" si="212"/>
        <v>0</v>
      </c>
      <c r="CS93" s="12">
        <f t="shared" si="212"/>
        <v>0</v>
      </c>
      <c r="CT93" s="12">
        <f t="shared" si="212"/>
        <v>0</v>
      </c>
      <c r="CU93" s="12">
        <f t="shared" si="212"/>
        <v>0</v>
      </c>
      <c r="CV93" s="12">
        <f t="shared" si="212"/>
        <v>0</v>
      </c>
      <c r="CW93" s="12">
        <f t="shared" si="212"/>
        <v>0</v>
      </c>
      <c r="CX93" s="12">
        <f t="shared" si="212"/>
        <v>0</v>
      </c>
      <c r="CY93" s="12">
        <f t="shared" si="212"/>
        <v>0</v>
      </c>
      <c r="CZ93" s="12">
        <f t="shared" si="212"/>
        <v>0</v>
      </c>
      <c r="DA93" s="12">
        <f t="shared" si="197"/>
        <v>0</v>
      </c>
      <c r="DB93" s="12">
        <f t="shared" si="197"/>
        <v>0</v>
      </c>
      <c r="DC93" s="12">
        <f t="shared" si="197"/>
        <v>0</v>
      </c>
      <c r="DD93" s="12">
        <f t="shared" si="197"/>
        <v>0</v>
      </c>
      <c r="DE93" s="12">
        <f t="shared" si="197"/>
        <v>0</v>
      </c>
      <c r="DF93" s="12">
        <f t="shared" si="197"/>
        <v>0</v>
      </c>
      <c r="DG93" s="12">
        <f t="shared" si="197"/>
        <v>0</v>
      </c>
      <c r="DH93" s="12">
        <f t="shared" si="197"/>
        <v>0</v>
      </c>
      <c r="DI93" s="12">
        <f t="shared" si="197"/>
        <v>0</v>
      </c>
      <c r="DJ93" s="12">
        <f t="shared" si="197"/>
        <v>0</v>
      </c>
      <c r="DK93" s="12">
        <f t="shared" si="197"/>
        <v>0</v>
      </c>
      <c r="DL93" s="12">
        <f t="shared" si="197"/>
        <v>0</v>
      </c>
      <c r="DM93" s="12">
        <f t="shared" si="197"/>
        <v>0</v>
      </c>
      <c r="DN93" s="12">
        <f t="shared" si="197"/>
        <v>0</v>
      </c>
      <c r="DO93" s="12">
        <f t="shared" si="197"/>
        <v>0</v>
      </c>
      <c r="DP93" s="12">
        <f t="shared" si="197"/>
        <v>0</v>
      </c>
      <c r="DQ93" s="12">
        <f t="shared" si="197"/>
        <v>0</v>
      </c>
      <c r="DR93" s="12">
        <f t="shared" si="197"/>
        <v>0</v>
      </c>
      <c r="DS93" s="12">
        <f t="shared" si="197"/>
        <v>0</v>
      </c>
      <c r="DT93" s="12">
        <f t="shared" si="197"/>
        <v>0</v>
      </c>
      <c r="DU93" s="12">
        <f t="shared" si="197"/>
        <v>0</v>
      </c>
      <c r="DV93" s="12">
        <f t="shared" si="197"/>
        <v>0</v>
      </c>
      <c r="DW93" s="12">
        <f t="shared" si="197"/>
        <v>0</v>
      </c>
      <c r="DX93" s="12">
        <f t="shared" si="197"/>
        <v>0</v>
      </c>
      <c r="DY93" s="12">
        <f t="shared" si="197"/>
        <v>0</v>
      </c>
      <c r="DZ93" s="12">
        <f t="shared" si="197"/>
        <v>0</v>
      </c>
      <c r="EA93" s="12">
        <f t="shared" si="197"/>
        <v>0</v>
      </c>
      <c r="EB93" s="12">
        <f t="shared" si="197"/>
        <v>0</v>
      </c>
      <c r="EC93" s="12">
        <f t="shared" si="197"/>
        <v>0</v>
      </c>
      <c r="ED93" s="12">
        <f t="shared" si="197"/>
        <v>0</v>
      </c>
      <c r="EE93" s="12">
        <f t="shared" si="197"/>
        <v>0</v>
      </c>
      <c r="EF93" s="12">
        <f t="shared" si="197"/>
        <v>0</v>
      </c>
      <c r="EG93" s="12">
        <f t="shared" si="197"/>
        <v>0</v>
      </c>
      <c r="EH93" s="12">
        <f t="shared" si="197"/>
        <v>0</v>
      </c>
      <c r="EI93" s="12">
        <f t="shared" si="197"/>
        <v>0</v>
      </c>
      <c r="EJ93" s="12">
        <f t="shared" si="197"/>
        <v>0</v>
      </c>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row>
    <row r="94" spans="1:345" x14ac:dyDescent="0.35">
      <c r="A94" s="132"/>
      <c r="B94" s="27"/>
      <c r="C94" s="170"/>
      <c r="D94" s="170"/>
      <c r="E94" s="103"/>
      <c r="F94" s="105"/>
      <c r="G94" s="36" t="str">
        <f>IFERROR(VLOOKUP(E94, 'General Project Info'!$C$30:$I$40, 7, FALSE), "")</f>
        <v/>
      </c>
      <c r="H94" s="41">
        <f>IFERROR(X94*VLOOKUP(E94, 'General Project Info'!$R$30:$T$40, 3, FALSE), 0)</f>
        <v>0</v>
      </c>
      <c r="I94" s="42">
        <f>IFERROR(IF($T94="Yes", $X94*VLOOKUP($E94, 'General Project Info'!$R$30:$W$40, 5, FALSE), 0), 0)</f>
        <v>0</v>
      </c>
      <c r="J94" s="42">
        <f>IFERROR(IF($T94="No", $X94*VLOOKUP($E94, 'General Project Info'!$R$30:$W$40, 5, FALSE), 0), 0)</f>
        <v>0</v>
      </c>
      <c r="K94" s="108"/>
      <c r="L94" s="108"/>
      <c r="M94" s="109"/>
      <c r="N94" s="109"/>
      <c r="O94" s="109"/>
      <c r="P94" s="43">
        <f t="shared" si="198"/>
        <v>0</v>
      </c>
      <c r="Q94" s="27"/>
      <c r="R94" s="132"/>
      <c r="T94" s="18" t="e">
        <f>VLOOKUP($E94, 'Unit Conversions Array'!$B$4:$Z$23, 25, FALSE)</f>
        <v>#N/A</v>
      </c>
      <c r="U94">
        <f>VLOOKUP(E94, 'General Project Info'!$R$30:$W$40, 6, FALSE)</f>
        <v>1</v>
      </c>
      <c r="V94" s="18">
        <f t="shared" si="199"/>
        <v>0</v>
      </c>
      <c r="W94" s="18">
        <f>IFERROR(F94*INDEX('Unit Conversions Array'!$E$4:$Y$23, MATCH('Scenarios &amp; Measures'!E94, 'Unit Conversions Array'!$B$4:$B$23, 0), MATCH('Scenarios &amp; Measures'!G94, 'Unit Conversions Array'!$E$3:$Y$3, 0)), 0)</f>
        <v>0</v>
      </c>
      <c r="X94" s="19">
        <f t="shared" si="200"/>
        <v>0</v>
      </c>
      <c r="Y94" s="19">
        <f t="shared" si="201"/>
        <v>0</v>
      </c>
      <c r="Z94" s="19">
        <f t="shared" si="202"/>
        <v>0</v>
      </c>
      <c r="AA94" s="17">
        <f t="shared" si="213"/>
        <v>0</v>
      </c>
      <c r="AB94" s="17">
        <f t="shared" si="203"/>
        <v>20</v>
      </c>
      <c r="AC94" s="17">
        <f t="shared" si="204"/>
        <v>-20</v>
      </c>
      <c r="AD94" s="17">
        <f t="shared" si="205"/>
        <v>0</v>
      </c>
      <c r="AE94" s="18">
        <f t="shared" si="206"/>
        <v>0</v>
      </c>
      <c r="AF94" s="19">
        <f t="shared" si="194"/>
        <v>0</v>
      </c>
      <c r="AG94" s="12">
        <f t="shared" si="195"/>
        <v>0</v>
      </c>
      <c r="AH94" s="17">
        <f t="shared" si="207"/>
        <v>0</v>
      </c>
      <c r="AI94" s="23">
        <f>IF($V$10="RECs", -Y94/VLOOKUP("RECs", 'General Project Info'!$R$30:$W$40, 5, FALSE)*$V$11*IF($X$11=$Z$12, $X$10, (1/($Z$12-$X$11))*(1-($X$11/$Z$12)^$X$10)*$Z$12), 0)</f>
        <v>0</v>
      </c>
      <c r="AJ94" s="17">
        <f t="shared" si="208"/>
        <v>0</v>
      </c>
      <c r="AK94" s="17">
        <f t="shared" si="209"/>
        <v>0</v>
      </c>
      <c r="AL94" s="17">
        <f t="shared" si="210"/>
        <v>0</v>
      </c>
      <c r="AN94" s="12">
        <f t="shared" si="211"/>
        <v>0</v>
      </c>
      <c r="AO94" s="12">
        <f t="shared" si="212"/>
        <v>0</v>
      </c>
      <c r="AP94" s="12">
        <f t="shared" si="212"/>
        <v>0</v>
      </c>
      <c r="AQ94" s="12">
        <f t="shared" si="212"/>
        <v>0</v>
      </c>
      <c r="AR94" s="12">
        <f t="shared" si="212"/>
        <v>0</v>
      </c>
      <c r="AS94" s="12">
        <f t="shared" si="212"/>
        <v>0</v>
      </c>
      <c r="AT94" s="12">
        <f t="shared" si="212"/>
        <v>0</v>
      </c>
      <c r="AU94" s="12">
        <f t="shared" si="212"/>
        <v>0</v>
      </c>
      <c r="AV94" s="12">
        <f t="shared" si="212"/>
        <v>0</v>
      </c>
      <c r="AW94" s="12">
        <f t="shared" si="212"/>
        <v>0</v>
      </c>
      <c r="AX94" s="12">
        <f t="shared" si="212"/>
        <v>0</v>
      </c>
      <c r="AY94" s="12">
        <f t="shared" si="212"/>
        <v>0</v>
      </c>
      <c r="AZ94" s="12">
        <f t="shared" si="212"/>
        <v>0</v>
      </c>
      <c r="BA94" s="12">
        <f t="shared" si="212"/>
        <v>0</v>
      </c>
      <c r="BB94" s="12">
        <f t="shared" si="212"/>
        <v>0</v>
      </c>
      <c r="BC94" s="12">
        <f t="shared" si="212"/>
        <v>0</v>
      </c>
      <c r="BD94" s="12">
        <f t="shared" si="212"/>
        <v>0</v>
      </c>
      <c r="BE94" s="12">
        <f t="shared" si="212"/>
        <v>0</v>
      </c>
      <c r="BF94" s="12">
        <f t="shared" si="212"/>
        <v>0</v>
      </c>
      <c r="BG94" s="12">
        <f t="shared" si="212"/>
        <v>0</v>
      </c>
      <c r="BH94" s="12">
        <f t="shared" si="212"/>
        <v>0</v>
      </c>
      <c r="BI94" s="12">
        <f t="shared" si="212"/>
        <v>0</v>
      </c>
      <c r="BJ94" s="12">
        <f t="shared" si="212"/>
        <v>0</v>
      </c>
      <c r="BK94" s="12">
        <f t="shared" si="212"/>
        <v>0</v>
      </c>
      <c r="BL94" s="12">
        <f t="shared" si="212"/>
        <v>0</v>
      </c>
      <c r="BM94" s="12">
        <f t="shared" si="212"/>
        <v>0</v>
      </c>
      <c r="BN94" s="12">
        <f t="shared" si="212"/>
        <v>0</v>
      </c>
      <c r="BO94" s="12">
        <f t="shared" si="212"/>
        <v>0</v>
      </c>
      <c r="BP94" s="12">
        <f t="shared" si="212"/>
        <v>0</v>
      </c>
      <c r="BQ94" s="12">
        <f t="shared" si="212"/>
        <v>0</v>
      </c>
      <c r="BR94" s="12">
        <f t="shared" si="212"/>
        <v>0</v>
      </c>
      <c r="BS94" s="12">
        <f t="shared" si="212"/>
        <v>0</v>
      </c>
      <c r="BT94" s="12">
        <f t="shared" si="212"/>
        <v>0</v>
      </c>
      <c r="BU94" s="12">
        <f t="shared" si="212"/>
        <v>0</v>
      </c>
      <c r="BV94" s="12">
        <f t="shared" si="212"/>
        <v>0</v>
      </c>
      <c r="BW94" s="12">
        <f t="shared" si="212"/>
        <v>0</v>
      </c>
      <c r="BX94" s="12">
        <f t="shared" si="212"/>
        <v>0</v>
      </c>
      <c r="BY94" s="12">
        <f t="shared" si="212"/>
        <v>0</v>
      </c>
      <c r="BZ94" s="12">
        <f t="shared" si="212"/>
        <v>0</v>
      </c>
      <c r="CA94" s="12">
        <f t="shared" si="212"/>
        <v>0</v>
      </c>
      <c r="CB94" s="12">
        <f t="shared" si="212"/>
        <v>0</v>
      </c>
      <c r="CC94" s="12">
        <f t="shared" si="212"/>
        <v>0</v>
      </c>
      <c r="CD94" s="12">
        <f t="shared" si="212"/>
        <v>0</v>
      </c>
      <c r="CE94" s="12">
        <f t="shared" si="212"/>
        <v>0</v>
      </c>
      <c r="CF94" s="12">
        <f t="shared" si="212"/>
        <v>0</v>
      </c>
      <c r="CG94" s="12">
        <f t="shared" si="212"/>
        <v>0</v>
      </c>
      <c r="CH94" s="12">
        <f t="shared" si="212"/>
        <v>0</v>
      </c>
      <c r="CI94" s="12">
        <f t="shared" si="212"/>
        <v>0</v>
      </c>
      <c r="CJ94" s="12">
        <f t="shared" si="212"/>
        <v>0</v>
      </c>
      <c r="CK94" s="12">
        <f t="shared" si="212"/>
        <v>0</v>
      </c>
      <c r="CL94" s="12">
        <f t="shared" si="212"/>
        <v>0</v>
      </c>
      <c r="CM94" s="12">
        <f t="shared" si="212"/>
        <v>0</v>
      </c>
      <c r="CN94" s="12">
        <f t="shared" si="212"/>
        <v>0</v>
      </c>
      <c r="CO94" s="12">
        <f t="shared" si="212"/>
        <v>0</v>
      </c>
      <c r="CP94" s="12">
        <f t="shared" si="212"/>
        <v>0</v>
      </c>
      <c r="CQ94" s="12">
        <f t="shared" si="212"/>
        <v>0</v>
      </c>
      <c r="CR94" s="12">
        <f t="shared" si="212"/>
        <v>0</v>
      </c>
      <c r="CS94" s="12">
        <f t="shared" si="212"/>
        <v>0</v>
      </c>
      <c r="CT94" s="12">
        <f t="shared" si="212"/>
        <v>0</v>
      </c>
      <c r="CU94" s="12">
        <f t="shared" si="212"/>
        <v>0</v>
      </c>
      <c r="CV94" s="12">
        <f t="shared" si="212"/>
        <v>0</v>
      </c>
      <c r="CW94" s="12">
        <f t="shared" si="212"/>
        <v>0</v>
      </c>
      <c r="CX94" s="12">
        <f t="shared" si="212"/>
        <v>0</v>
      </c>
      <c r="CY94" s="12">
        <f t="shared" si="212"/>
        <v>0</v>
      </c>
      <c r="CZ94" s="12">
        <f t="shared" ref="CZ94:EJ97" si="214">IFERROR(IF(CZ$38&gt;=$X$10, 0, IF(MOD($AD94+CZ$38, $K94)=0, (($M94-$N94)*$Z$11^CZ$38), 0)), 0)</f>
        <v>0</v>
      </c>
      <c r="DA94" s="12">
        <f t="shared" si="214"/>
        <v>0</v>
      </c>
      <c r="DB94" s="12">
        <f t="shared" si="214"/>
        <v>0</v>
      </c>
      <c r="DC94" s="12">
        <f t="shared" si="214"/>
        <v>0</v>
      </c>
      <c r="DD94" s="12">
        <f t="shared" si="214"/>
        <v>0</v>
      </c>
      <c r="DE94" s="12">
        <f t="shared" si="214"/>
        <v>0</v>
      </c>
      <c r="DF94" s="12">
        <f t="shared" si="214"/>
        <v>0</v>
      </c>
      <c r="DG94" s="12">
        <f t="shared" si="214"/>
        <v>0</v>
      </c>
      <c r="DH94" s="12">
        <f t="shared" si="214"/>
        <v>0</v>
      </c>
      <c r="DI94" s="12">
        <f t="shared" si="214"/>
        <v>0</v>
      </c>
      <c r="DJ94" s="12">
        <f t="shared" si="214"/>
        <v>0</v>
      </c>
      <c r="DK94" s="12">
        <f t="shared" si="214"/>
        <v>0</v>
      </c>
      <c r="DL94" s="12">
        <f t="shared" si="214"/>
        <v>0</v>
      </c>
      <c r="DM94" s="12">
        <f t="shared" si="214"/>
        <v>0</v>
      </c>
      <c r="DN94" s="12">
        <f t="shared" si="214"/>
        <v>0</v>
      </c>
      <c r="DO94" s="12">
        <f t="shared" si="214"/>
        <v>0</v>
      </c>
      <c r="DP94" s="12">
        <f t="shared" si="214"/>
        <v>0</v>
      </c>
      <c r="DQ94" s="12">
        <f t="shared" si="214"/>
        <v>0</v>
      </c>
      <c r="DR94" s="12">
        <f t="shared" si="214"/>
        <v>0</v>
      </c>
      <c r="DS94" s="12">
        <f t="shared" si="214"/>
        <v>0</v>
      </c>
      <c r="DT94" s="12">
        <f t="shared" si="214"/>
        <v>0</v>
      </c>
      <c r="DU94" s="12">
        <f t="shared" si="214"/>
        <v>0</v>
      </c>
      <c r="DV94" s="12">
        <f t="shared" si="214"/>
        <v>0</v>
      </c>
      <c r="DW94" s="12">
        <f t="shared" si="214"/>
        <v>0</v>
      </c>
      <c r="DX94" s="12">
        <f t="shared" si="214"/>
        <v>0</v>
      </c>
      <c r="DY94" s="12">
        <f t="shared" si="214"/>
        <v>0</v>
      </c>
      <c r="DZ94" s="12">
        <f t="shared" si="214"/>
        <v>0</v>
      </c>
      <c r="EA94" s="12">
        <f t="shared" si="214"/>
        <v>0</v>
      </c>
      <c r="EB94" s="12">
        <f t="shared" si="214"/>
        <v>0</v>
      </c>
      <c r="EC94" s="12">
        <f t="shared" si="214"/>
        <v>0</v>
      </c>
      <c r="ED94" s="12">
        <f t="shared" si="214"/>
        <v>0</v>
      </c>
      <c r="EE94" s="12">
        <f t="shared" si="214"/>
        <v>0</v>
      </c>
      <c r="EF94" s="12">
        <f t="shared" si="214"/>
        <v>0</v>
      </c>
      <c r="EG94" s="12">
        <f t="shared" si="214"/>
        <v>0</v>
      </c>
      <c r="EH94" s="12">
        <f t="shared" si="214"/>
        <v>0</v>
      </c>
      <c r="EI94" s="12">
        <f t="shared" si="214"/>
        <v>0</v>
      </c>
      <c r="EJ94" s="12">
        <f t="shared" si="214"/>
        <v>0</v>
      </c>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row>
    <row r="95" spans="1:345" x14ac:dyDescent="0.35">
      <c r="A95" s="132"/>
      <c r="B95" s="27"/>
      <c r="C95" s="170"/>
      <c r="D95" s="170"/>
      <c r="E95" s="103"/>
      <c r="F95" s="105"/>
      <c r="G95" s="36" t="str">
        <f>IFERROR(VLOOKUP(E95, 'General Project Info'!$C$30:$I$40, 7, FALSE), "")</f>
        <v/>
      </c>
      <c r="H95" s="41">
        <f>IFERROR(X95*VLOOKUP(E95, 'General Project Info'!$R$30:$T$40, 3, FALSE), 0)</f>
        <v>0</v>
      </c>
      <c r="I95" s="42">
        <f>IFERROR(IF($T95="Yes", $X95*VLOOKUP($E95, 'General Project Info'!$R$30:$W$40, 5, FALSE), 0), 0)</f>
        <v>0</v>
      </c>
      <c r="J95" s="42">
        <f>IFERROR(IF($T95="No", $X95*VLOOKUP($E95, 'General Project Info'!$R$30:$W$40, 5, FALSE), 0), 0)</f>
        <v>0</v>
      </c>
      <c r="K95" s="108"/>
      <c r="L95" s="108"/>
      <c r="M95" s="109"/>
      <c r="N95" s="109"/>
      <c r="O95" s="109"/>
      <c r="P95" s="43">
        <f t="shared" si="198"/>
        <v>0</v>
      </c>
      <c r="Q95" s="27"/>
      <c r="R95" s="132"/>
      <c r="T95" s="18" t="e">
        <f>VLOOKUP($E95, 'Unit Conversions Array'!$B$4:$Z$23, 25, FALSE)</f>
        <v>#N/A</v>
      </c>
      <c r="U95">
        <f>VLOOKUP(E95, 'General Project Info'!$R$30:$W$40, 6, FALSE)</f>
        <v>1</v>
      </c>
      <c r="V95" s="18">
        <f t="shared" si="199"/>
        <v>0</v>
      </c>
      <c r="W95" s="18">
        <f>IFERROR(F95*INDEX('Unit Conversions Array'!$E$4:$Y$23, MATCH('Scenarios &amp; Measures'!E95, 'Unit Conversions Array'!$B$4:$B$23, 0), MATCH('Scenarios &amp; Measures'!G95, 'Unit Conversions Array'!$E$3:$Y$3, 0)), 0)</f>
        <v>0</v>
      </c>
      <c r="X95" s="19">
        <f t="shared" si="200"/>
        <v>0</v>
      </c>
      <c r="Y95" s="19">
        <f t="shared" si="201"/>
        <v>0</v>
      </c>
      <c r="Z95" s="19">
        <f t="shared" si="202"/>
        <v>0</v>
      </c>
      <c r="AA95" s="17">
        <f t="shared" si="213"/>
        <v>0</v>
      </c>
      <c r="AB95" s="17">
        <f t="shared" si="203"/>
        <v>20</v>
      </c>
      <c r="AC95" s="17">
        <f t="shared" si="204"/>
        <v>-20</v>
      </c>
      <c r="AD95" s="17">
        <f t="shared" si="205"/>
        <v>0</v>
      </c>
      <c r="AE95" s="18">
        <f t="shared" si="206"/>
        <v>0</v>
      </c>
      <c r="AF95" s="19">
        <f t="shared" si="194"/>
        <v>0</v>
      </c>
      <c r="AG95" s="12">
        <f t="shared" si="195"/>
        <v>0</v>
      </c>
      <c r="AH95" s="17">
        <f t="shared" si="207"/>
        <v>0</v>
      </c>
      <c r="AI95" s="23">
        <f>IF($V$10="RECs", -Y95/VLOOKUP("RECs", 'General Project Info'!$R$30:$W$40, 5, FALSE)*$V$11*IF($X$11=$Z$12, $X$10, (1/($Z$12-$X$11))*(1-($X$11/$Z$12)^$X$10)*$Z$12), 0)</f>
        <v>0</v>
      </c>
      <c r="AJ95" s="17">
        <f t="shared" si="208"/>
        <v>0</v>
      </c>
      <c r="AK95" s="17">
        <f t="shared" si="209"/>
        <v>0</v>
      </c>
      <c r="AL95" s="17">
        <f t="shared" si="210"/>
        <v>0</v>
      </c>
      <c r="AN95" s="12">
        <f t="shared" si="211"/>
        <v>0</v>
      </c>
      <c r="AO95" s="12">
        <f t="shared" ref="AO95:CZ98" si="215">IFERROR(IF(AO$38&gt;=$X$10, 0, IF(MOD($AD95+AO$38, $K95)=0, (($M95-$N95)*$Z$11^AO$38), 0)), 0)</f>
        <v>0</v>
      </c>
      <c r="AP95" s="12">
        <f t="shared" si="215"/>
        <v>0</v>
      </c>
      <c r="AQ95" s="12">
        <f t="shared" si="215"/>
        <v>0</v>
      </c>
      <c r="AR95" s="12">
        <f t="shared" si="215"/>
        <v>0</v>
      </c>
      <c r="AS95" s="12">
        <f t="shared" si="215"/>
        <v>0</v>
      </c>
      <c r="AT95" s="12">
        <f t="shared" si="215"/>
        <v>0</v>
      </c>
      <c r="AU95" s="12">
        <f t="shared" si="215"/>
        <v>0</v>
      </c>
      <c r="AV95" s="12">
        <f t="shared" si="215"/>
        <v>0</v>
      </c>
      <c r="AW95" s="12">
        <f t="shared" si="215"/>
        <v>0</v>
      </c>
      <c r="AX95" s="12">
        <f t="shared" si="215"/>
        <v>0</v>
      </c>
      <c r="AY95" s="12">
        <f t="shared" si="215"/>
        <v>0</v>
      </c>
      <c r="AZ95" s="12">
        <f t="shared" si="215"/>
        <v>0</v>
      </c>
      <c r="BA95" s="12">
        <f t="shared" si="215"/>
        <v>0</v>
      </c>
      <c r="BB95" s="12">
        <f t="shared" si="215"/>
        <v>0</v>
      </c>
      <c r="BC95" s="12">
        <f t="shared" si="215"/>
        <v>0</v>
      </c>
      <c r="BD95" s="12">
        <f t="shared" si="215"/>
        <v>0</v>
      </c>
      <c r="BE95" s="12">
        <f t="shared" si="215"/>
        <v>0</v>
      </c>
      <c r="BF95" s="12">
        <f t="shared" si="215"/>
        <v>0</v>
      </c>
      <c r="BG95" s="12">
        <f t="shared" si="215"/>
        <v>0</v>
      </c>
      <c r="BH95" s="12">
        <f t="shared" si="215"/>
        <v>0</v>
      </c>
      <c r="BI95" s="12">
        <f t="shared" si="215"/>
        <v>0</v>
      </c>
      <c r="BJ95" s="12">
        <f t="shared" si="215"/>
        <v>0</v>
      </c>
      <c r="BK95" s="12">
        <f t="shared" si="215"/>
        <v>0</v>
      </c>
      <c r="BL95" s="12">
        <f t="shared" si="215"/>
        <v>0</v>
      </c>
      <c r="BM95" s="12">
        <f t="shared" si="215"/>
        <v>0</v>
      </c>
      <c r="BN95" s="12">
        <f t="shared" si="215"/>
        <v>0</v>
      </c>
      <c r="BO95" s="12">
        <f t="shared" si="215"/>
        <v>0</v>
      </c>
      <c r="BP95" s="12">
        <f t="shared" si="215"/>
        <v>0</v>
      </c>
      <c r="BQ95" s="12">
        <f t="shared" si="215"/>
        <v>0</v>
      </c>
      <c r="BR95" s="12">
        <f t="shared" si="215"/>
        <v>0</v>
      </c>
      <c r="BS95" s="12">
        <f t="shared" si="215"/>
        <v>0</v>
      </c>
      <c r="BT95" s="12">
        <f t="shared" si="215"/>
        <v>0</v>
      </c>
      <c r="BU95" s="12">
        <f t="shared" si="215"/>
        <v>0</v>
      </c>
      <c r="BV95" s="12">
        <f t="shared" si="215"/>
        <v>0</v>
      </c>
      <c r="BW95" s="12">
        <f t="shared" si="215"/>
        <v>0</v>
      </c>
      <c r="BX95" s="12">
        <f t="shared" si="215"/>
        <v>0</v>
      </c>
      <c r="BY95" s="12">
        <f t="shared" si="215"/>
        <v>0</v>
      </c>
      <c r="BZ95" s="12">
        <f t="shared" si="215"/>
        <v>0</v>
      </c>
      <c r="CA95" s="12">
        <f t="shared" si="215"/>
        <v>0</v>
      </c>
      <c r="CB95" s="12">
        <f t="shared" si="215"/>
        <v>0</v>
      </c>
      <c r="CC95" s="12">
        <f t="shared" si="215"/>
        <v>0</v>
      </c>
      <c r="CD95" s="12">
        <f t="shared" si="215"/>
        <v>0</v>
      </c>
      <c r="CE95" s="12">
        <f t="shared" si="215"/>
        <v>0</v>
      </c>
      <c r="CF95" s="12">
        <f t="shared" si="215"/>
        <v>0</v>
      </c>
      <c r="CG95" s="12">
        <f t="shared" si="215"/>
        <v>0</v>
      </c>
      <c r="CH95" s="12">
        <f t="shared" si="215"/>
        <v>0</v>
      </c>
      <c r="CI95" s="12">
        <f t="shared" si="215"/>
        <v>0</v>
      </c>
      <c r="CJ95" s="12">
        <f t="shared" si="215"/>
        <v>0</v>
      </c>
      <c r="CK95" s="12">
        <f t="shared" si="215"/>
        <v>0</v>
      </c>
      <c r="CL95" s="12">
        <f t="shared" si="215"/>
        <v>0</v>
      </c>
      <c r="CM95" s="12">
        <f t="shared" si="215"/>
        <v>0</v>
      </c>
      <c r="CN95" s="12">
        <f t="shared" si="215"/>
        <v>0</v>
      </c>
      <c r="CO95" s="12">
        <f t="shared" si="215"/>
        <v>0</v>
      </c>
      <c r="CP95" s="12">
        <f t="shared" si="215"/>
        <v>0</v>
      </c>
      <c r="CQ95" s="12">
        <f t="shared" si="215"/>
        <v>0</v>
      </c>
      <c r="CR95" s="12">
        <f t="shared" si="215"/>
        <v>0</v>
      </c>
      <c r="CS95" s="12">
        <f t="shared" si="215"/>
        <v>0</v>
      </c>
      <c r="CT95" s="12">
        <f t="shared" si="215"/>
        <v>0</v>
      </c>
      <c r="CU95" s="12">
        <f t="shared" si="215"/>
        <v>0</v>
      </c>
      <c r="CV95" s="12">
        <f t="shared" si="215"/>
        <v>0</v>
      </c>
      <c r="CW95" s="12">
        <f t="shared" si="215"/>
        <v>0</v>
      </c>
      <c r="CX95" s="12">
        <f t="shared" si="215"/>
        <v>0</v>
      </c>
      <c r="CY95" s="12">
        <f t="shared" si="215"/>
        <v>0</v>
      </c>
      <c r="CZ95" s="12">
        <f t="shared" si="215"/>
        <v>0</v>
      </c>
      <c r="DA95" s="12">
        <f t="shared" si="214"/>
        <v>0</v>
      </c>
      <c r="DB95" s="12">
        <f t="shared" si="214"/>
        <v>0</v>
      </c>
      <c r="DC95" s="12">
        <f t="shared" si="214"/>
        <v>0</v>
      </c>
      <c r="DD95" s="12">
        <f t="shared" si="214"/>
        <v>0</v>
      </c>
      <c r="DE95" s="12">
        <f t="shared" si="214"/>
        <v>0</v>
      </c>
      <c r="DF95" s="12">
        <f t="shared" si="214"/>
        <v>0</v>
      </c>
      <c r="DG95" s="12">
        <f t="shared" si="214"/>
        <v>0</v>
      </c>
      <c r="DH95" s="12">
        <f t="shared" si="214"/>
        <v>0</v>
      </c>
      <c r="DI95" s="12">
        <f t="shared" si="214"/>
        <v>0</v>
      </c>
      <c r="DJ95" s="12">
        <f t="shared" si="214"/>
        <v>0</v>
      </c>
      <c r="DK95" s="12">
        <f t="shared" si="214"/>
        <v>0</v>
      </c>
      <c r="DL95" s="12">
        <f t="shared" si="214"/>
        <v>0</v>
      </c>
      <c r="DM95" s="12">
        <f t="shared" si="214"/>
        <v>0</v>
      </c>
      <c r="DN95" s="12">
        <f t="shared" si="214"/>
        <v>0</v>
      </c>
      <c r="DO95" s="12">
        <f t="shared" si="214"/>
        <v>0</v>
      </c>
      <c r="DP95" s="12">
        <f t="shared" si="214"/>
        <v>0</v>
      </c>
      <c r="DQ95" s="12">
        <f t="shared" si="214"/>
        <v>0</v>
      </c>
      <c r="DR95" s="12">
        <f t="shared" si="214"/>
        <v>0</v>
      </c>
      <c r="DS95" s="12">
        <f t="shared" si="214"/>
        <v>0</v>
      </c>
      <c r="DT95" s="12">
        <f t="shared" si="214"/>
        <v>0</v>
      </c>
      <c r="DU95" s="12">
        <f t="shared" si="214"/>
        <v>0</v>
      </c>
      <c r="DV95" s="12">
        <f t="shared" si="214"/>
        <v>0</v>
      </c>
      <c r="DW95" s="12">
        <f t="shared" si="214"/>
        <v>0</v>
      </c>
      <c r="DX95" s="12">
        <f t="shared" si="214"/>
        <v>0</v>
      </c>
      <c r="DY95" s="12">
        <f t="shared" si="214"/>
        <v>0</v>
      </c>
      <c r="DZ95" s="12">
        <f t="shared" si="214"/>
        <v>0</v>
      </c>
      <c r="EA95" s="12">
        <f t="shared" si="214"/>
        <v>0</v>
      </c>
      <c r="EB95" s="12">
        <f t="shared" si="214"/>
        <v>0</v>
      </c>
      <c r="EC95" s="12">
        <f t="shared" si="214"/>
        <v>0</v>
      </c>
      <c r="ED95" s="12">
        <f t="shared" si="214"/>
        <v>0</v>
      </c>
      <c r="EE95" s="12">
        <f t="shared" si="214"/>
        <v>0</v>
      </c>
      <c r="EF95" s="12">
        <f t="shared" si="214"/>
        <v>0</v>
      </c>
      <c r="EG95" s="12">
        <f t="shared" si="214"/>
        <v>0</v>
      </c>
      <c r="EH95" s="12">
        <f t="shared" si="214"/>
        <v>0</v>
      </c>
      <c r="EI95" s="12">
        <f t="shared" si="214"/>
        <v>0</v>
      </c>
      <c r="EJ95" s="12">
        <f t="shared" si="214"/>
        <v>0</v>
      </c>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row>
    <row r="96" spans="1:345" x14ac:dyDescent="0.35">
      <c r="A96" s="132"/>
      <c r="B96" s="27"/>
      <c r="C96" s="170"/>
      <c r="D96" s="170"/>
      <c r="E96" s="103"/>
      <c r="F96" s="105"/>
      <c r="G96" s="36" t="str">
        <f>IFERROR(VLOOKUP(E96, 'General Project Info'!$C$30:$I$40, 7, FALSE), "")</f>
        <v/>
      </c>
      <c r="H96" s="41">
        <f>IFERROR(X96*VLOOKUP(E96, 'General Project Info'!$R$30:$T$40, 3, FALSE), 0)</f>
        <v>0</v>
      </c>
      <c r="I96" s="42">
        <f>IFERROR(IF($T96="Yes", $X96*VLOOKUP($E96, 'General Project Info'!$R$30:$W$40, 5, FALSE), 0), 0)</f>
        <v>0</v>
      </c>
      <c r="J96" s="42">
        <f>IFERROR(IF($T96="No", $X96*VLOOKUP($E96, 'General Project Info'!$R$30:$W$40, 5, FALSE), 0), 0)</f>
        <v>0</v>
      </c>
      <c r="K96" s="108"/>
      <c r="L96" s="108"/>
      <c r="M96" s="109"/>
      <c r="N96" s="109"/>
      <c r="O96" s="109"/>
      <c r="P96" s="43">
        <f t="shared" si="198"/>
        <v>0</v>
      </c>
      <c r="Q96" s="27"/>
      <c r="R96" s="132"/>
      <c r="T96" s="18" t="e">
        <f>VLOOKUP($E96, 'Unit Conversions Array'!$B$4:$Z$23, 25, FALSE)</f>
        <v>#N/A</v>
      </c>
      <c r="U96">
        <f>VLOOKUP(E96, 'General Project Info'!$R$30:$W$40, 6, FALSE)</f>
        <v>1</v>
      </c>
      <c r="V96" s="18">
        <f t="shared" si="199"/>
        <v>0</v>
      </c>
      <c r="W96" s="18">
        <f>IFERROR(F96*INDEX('Unit Conversions Array'!$E$4:$Y$23, MATCH('Scenarios &amp; Measures'!E96, 'Unit Conversions Array'!$B$4:$B$23, 0), MATCH('Scenarios &amp; Measures'!G96, 'Unit Conversions Array'!$E$3:$Y$3, 0)), 0)</f>
        <v>0</v>
      </c>
      <c r="X96" s="19">
        <f t="shared" si="200"/>
        <v>0</v>
      </c>
      <c r="Y96" s="19">
        <f t="shared" si="201"/>
        <v>0</v>
      </c>
      <c r="Z96" s="19">
        <f t="shared" si="202"/>
        <v>0</v>
      </c>
      <c r="AA96" s="17">
        <f t="shared" si="213"/>
        <v>0</v>
      </c>
      <c r="AB96" s="17">
        <f t="shared" si="203"/>
        <v>20</v>
      </c>
      <c r="AC96" s="17">
        <f t="shared" si="204"/>
        <v>-20</v>
      </c>
      <c r="AD96" s="17">
        <f t="shared" si="205"/>
        <v>0</v>
      </c>
      <c r="AE96" s="18">
        <f t="shared" si="206"/>
        <v>0</v>
      </c>
      <c r="AF96" s="19">
        <f t="shared" si="194"/>
        <v>0</v>
      </c>
      <c r="AG96" s="12">
        <f t="shared" si="195"/>
        <v>0</v>
      </c>
      <c r="AH96" s="17">
        <f t="shared" si="207"/>
        <v>0</v>
      </c>
      <c r="AI96" s="23">
        <f>IF($V$10="RECs", -Y96/VLOOKUP("RECs", 'General Project Info'!$R$30:$W$40, 5, FALSE)*$V$11*IF($X$11=$Z$12, $X$10, (1/($Z$12-$X$11))*(1-($X$11/$Z$12)^$X$10)*$Z$12), 0)</f>
        <v>0</v>
      </c>
      <c r="AJ96" s="17">
        <f t="shared" si="208"/>
        <v>0</v>
      </c>
      <c r="AK96" s="17">
        <f t="shared" si="209"/>
        <v>0</v>
      </c>
      <c r="AL96" s="17">
        <f t="shared" si="210"/>
        <v>0</v>
      </c>
      <c r="AN96" s="12">
        <f t="shared" si="211"/>
        <v>0</v>
      </c>
      <c r="AO96" s="12">
        <f t="shared" si="215"/>
        <v>0</v>
      </c>
      <c r="AP96" s="12">
        <f t="shared" si="215"/>
        <v>0</v>
      </c>
      <c r="AQ96" s="12">
        <f t="shared" si="215"/>
        <v>0</v>
      </c>
      <c r="AR96" s="12">
        <f t="shared" si="215"/>
        <v>0</v>
      </c>
      <c r="AS96" s="12">
        <f t="shared" si="215"/>
        <v>0</v>
      </c>
      <c r="AT96" s="12">
        <f t="shared" si="215"/>
        <v>0</v>
      </c>
      <c r="AU96" s="12">
        <f t="shared" si="215"/>
        <v>0</v>
      </c>
      <c r="AV96" s="12">
        <f t="shared" si="215"/>
        <v>0</v>
      </c>
      <c r="AW96" s="12">
        <f t="shared" si="215"/>
        <v>0</v>
      </c>
      <c r="AX96" s="12">
        <f t="shared" si="215"/>
        <v>0</v>
      </c>
      <c r="AY96" s="12">
        <f t="shared" si="215"/>
        <v>0</v>
      </c>
      <c r="AZ96" s="12">
        <f t="shared" si="215"/>
        <v>0</v>
      </c>
      <c r="BA96" s="12">
        <f t="shared" si="215"/>
        <v>0</v>
      </c>
      <c r="BB96" s="12">
        <f t="shared" si="215"/>
        <v>0</v>
      </c>
      <c r="BC96" s="12">
        <f t="shared" si="215"/>
        <v>0</v>
      </c>
      <c r="BD96" s="12">
        <f t="shared" si="215"/>
        <v>0</v>
      </c>
      <c r="BE96" s="12">
        <f t="shared" si="215"/>
        <v>0</v>
      </c>
      <c r="BF96" s="12">
        <f t="shared" si="215"/>
        <v>0</v>
      </c>
      <c r="BG96" s="12">
        <f t="shared" si="215"/>
        <v>0</v>
      </c>
      <c r="BH96" s="12">
        <f t="shared" si="215"/>
        <v>0</v>
      </c>
      <c r="BI96" s="12">
        <f t="shared" si="215"/>
        <v>0</v>
      </c>
      <c r="BJ96" s="12">
        <f t="shared" si="215"/>
        <v>0</v>
      </c>
      <c r="BK96" s="12">
        <f t="shared" si="215"/>
        <v>0</v>
      </c>
      <c r="BL96" s="12">
        <f t="shared" si="215"/>
        <v>0</v>
      </c>
      <c r="BM96" s="12">
        <f t="shared" si="215"/>
        <v>0</v>
      </c>
      <c r="BN96" s="12">
        <f t="shared" si="215"/>
        <v>0</v>
      </c>
      <c r="BO96" s="12">
        <f t="shared" si="215"/>
        <v>0</v>
      </c>
      <c r="BP96" s="12">
        <f t="shared" si="215"/>
        <v>0</v>
      </c>
      <c r="BQ96" s="12">
        <f t="shared" si="215"/>
        <v>0</v>
      </c>
      <c r="BR96" s="12">
        <f t="shared" si="215"/>
        <v>0</v>
      </c>
      <c r="BS96" s="12">
        <f t="shared" si="215"/>
        <v>0</v>
      </c>
      <c r="BT96" s="12">
        <f t="shared" si="215"/>
        <v>0</v>
      </c>
      <c r="BU96" s="12">
        <f t="shared" si="215"/>
        <v>0</v>
      </c>
      <c r="BV96" s="12">
        <f t="shared" si="215"/>
        <v>0</v>
      </c>
      <c r="BW96" s="12">
        <f t="shared" si="215"/>
        <v>0</v>
      </c>
      <c r="BX96" s="12">
        <f t="shared" si="215"/>
        <v>0</v>
      </c>
      <c r="BY96" s="12">
        <f t="shared" si="215"/>
        <v>0</v>
      </c>
      <c r="BZ96" s="12">
        <f t="shared" si="215"/>
        <v>0</v>
      </c>
      <c r="CA96" s="12">
        <f t="shared" si="215"/>
        <v>0</v>
      </c>
      <c r="CB96" s="12">
        <f t="shared" si="215"/>
        <v>0</v>
      </c>
      <c r="CC96" s="12">
        <f t="shared" si="215"/>
        <v>0</v>
      </c>
      <c r="CD96" s="12">
        <f t="shared" si="215"/>
        <v>0</v>
      </c>
      <c r="CE96" s="12">
        <f t="shared" si="215"/>
        <v>0</v>
      </c>
      <c r="CF96" s="12">
        <f t="shared" si="215"/>
        <v>0</v>
      </c>
      <c r="CG96" s="12">
        <f t="shared" si="215"/>
        <v>0</v>
      </c>
      <c r="CH96" s="12">
        <f t="shared" si="215"/>
        <v>0</v>
      </c>
      <c r="CI96" s="12">
        <f t="shared" si="215"/>
        <v>0</v>
      </c>
      <c r="CJ96" s="12">
        <f t="shared" si="215"/>
        <v>0</v>
      </c>
      <c r="CK96" s="12">
        <f t="shared" si="215"/>
        <v>0</v>
      </c>
      <c r="CL96" s="12">
        <f t="shared" si="215"/>
        <v>0</v>
      </c>
      <c r="CM96" s="12">
        <f t="shared" si="215"/>
        <v>0</v>
      </c>
      <c r="CN96" s="12">
        <f t="shared" si="215"/>
        <v>0</v>
      </c>
      <c r="CO96" s="12">
        <f t="shared" si="215"/>
        <v>0</v>
      </c>
      <c r="CP96" s="12">
        <f t="shared" si="215"/>
        <v>0</v>
      </c>
      <c r="CQ96" s="12">
        <f t="shared" si="215"/>
        <v>0</v>
      </c>
      <c r="CR96" s="12">
        <f t="shared" si="215"/>
        <v>0</v>
      </c>
      <c r="CS96" s="12">
        <f t="shared" si="215"/>
        <v>0</v>
      </c>
      <c r="CT96" s="12">
        <f t="shared" si="215"/>
        <v>0</v>
      </c>
      <c r="CU96" s="12">
        <f t="shared" si="215"/>
        <v>0</v>
      </c>
      <c r="CV96" s="12">
        <f t="shared" si="215"/>
        <v>0</v>
      </c>
      <c r="CW96" s="12">
        <f t="shared" si="215"/>
        <v>0</v>
      </c>
      <c r="CX96" s="12">
        <f t="shared" si="215"/>
        <v>0</v>
      </c>
      <c r="CY96" s="12">
        <f t="shared" si="215"/>
        <v>0</v>
      </c>
      <c r="CZ96" s="12">
        <f t="shared" si="215"/>
        <v>0</v>
      </c>
      <c r="DA96" s="12">
        <f t="shared" si="214"/>
        <v>0</v>
      </c>
      <c r="DB96" s="12">
        <f t="shared" si="214"/>
        <v>0</v>
      </c>
      <c r="DC96" s="12">
        <f t="shared" si="214"/>
        <v>0</v>
      </c>
      <c r="DD96" s="12">
        <f t="shared" si="214"/>
        <v>0</v>
      </c>
      <c r="DE96" s="12">
        <f t="shared" si="214"/>
        <v>0</v>
      </c>
      <c r="DF96" s="12">
        <f t="shared" si="214"/>
        <v>0</v>
      </c>
      <c r="DG96" s="12">
        <f t="shared" si="214"/>
        <v>0</v>
      </c>
      <c r="DH96" s="12">
        <f t="shared" si="214"/>
        <v>0</v>
      </c>
      <c r="DI96" s="12">
        <f t="shared" si="214"/>
        <v>0</v>
      </c>
      <c r="DJ96" s="12">
        <f t="shared" si="214"/>
        <v>0</v>
      </c>
      <c r="DK96" s="12">
        <f t="shared" si="214"/>
        <v>0</v>
      </c>
      <c r="DL96" s="12">
        <f t="shared" si="214"/>
        <v>0</v>
      </c>
      <c r="DM96" s="12">
        <f t="shared" si="214"/>
        <v>0</v>
      </c>
      <c r="DN96" s="12">
        <f t="shared" si="214"/>
        <v>0</v>
      </c>
      <c r="DO96" s="12">
        <f t="shared" si="214"/>
        <v>0</v>
      </c>
      <c r="DP96" s="12">
        <f t="shared" si="214"/>
        <v>0</v>
      </c>
      <c r="DQ96" s="12">
        <f t="shared" si="214"/>
        <v>0</v>
      </c>
      <c r="DR96" s="12">
        <f t="shared" si="214"/>
        <v>0</v>
      </c>
      <c r="DS96" s="12">
        <f t="shared" si="214"/>
        <v>0</v>
      </c>
      <c r="DT96" s="12">
        <f t="shared" si="214"/>
        <v>0</v>
      </c>
      <c r="DU96" s="12">
        <f t="shared" si="214"/>
        <v>0</v>
      </c>
      <c r="DV96" s="12">
        <f t="shared" si="214"/>
        <v>0</v>
      </c>
      <c r="DW96" s="12">
        <f t="shared" si="214"/>
        <v>0</v>
      </c>
      <c r="DX96" s="12">
        <f t="shared" si="214"/>
        <v>0</v>
      </c>
      <c r="DY96" s="12">
        <f t="shared" si="214"/>
        <v>0</v>
      </c>
      <c r="DZ96" s="12">
        <f t="shared" si="214"/>
        <v>0</v>
      </c>
      <c r="EA96" s="12">
        <f t="shared" si="214"/>
        <v>0</v>
      </c>
      <c r="EB96" s="12">
        <f t="shared" si="214"/>
        <v>0</v>
      </c>
      <c r="EC96" s="12">
        <f t="shared" si="214"/>
        <v>0</v>
      </c>
      <c r="ED96" s="12">
        <f t="shared" si="214"/>
        <v>0</v>
      </c>
      <c r="EE96" s="12">
        <f t="shared" si="214"/>
        <v>0</v>
      </c>
      <c r="EF96" s="12">
        <f t="shared" si="214"/>
        <v>0</v>
      </c>
      <c r="EG96" s="12">
        <f t="shared" si="214"/>
        <v>0</v>
      </c>
      <c r="EH96" s="12">
        <f t="shared" si="214"/>
        <v>0</v>
      </c>
      <c r="EI96" s="12">
        <f t="shared" si="214"/>
        <v>0</v>
      </c>
      <c r="EJ96" s="12">
        <f t="shared" si="214"/>
        <v>0</v>
      </c>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row>
    <row r="97" spans="1:345" x14ac:dyDescent="0.35">
      <c r="A97" s="132"/>
      <c r="B97" s="27"/>
      <c r="C97" s="170"/>
      <c r="D97" s="170"/>
      <c r="E97" s="103"/>
      <c r="F97" s="105"/>
      <c r="G97" s="36" t="str">
        <f>IFERROR(VLOOKUP(E97, 'General Project Info'!$C$30:$I$40, 7, FALSE), "")</f>
        <v/>
      </c>
      <c r="H97" s="41">
        <f>IFERROR(X97*VLOOKUP(E97, 'General Project Info'!$R$30:$T$40, 3, FALSE), 0)</f>
        <v>0</v>
      </c>
      <c r="I97" s="42">
        <f>IFERROR(IF($T97="Yes", $X97*VLOOKUP($E97, 'General Project Info'!$R$30:$W$40, 5, FALSE), 0), 0)</f>
        <v>0</v>
      </c>
      <c r="J97" s="42">
        <f>IFERROR(IF($T97="No", $X97*VLOOKUP($E97, 'General Project Info'!$R$30:$W$40, 5, FALSE), 0), 0)</f>
        <v>0</v>
      </c>
      <c r="K97" s="108"/>
      <c r="L97" s="108"/>
      <c r="M97" s="109"/>
      <c r="N97" s="109"/>
      <c r="O97" s="109"/>
      <c r="P97" s="43">
        <f t="shared" si="198"/>
        <v>0</v>
      </c>
      <c r="Q97" s="27"/>
      <c r="R97" s="132"/>
      <c r="T97" s="18" t="e">
        <f>VLOOKUP($E97, 'Unit Conversions Array'!$B$4:$Z$23, 25, FALSE)</f>
        <v>#N/A</v>
      </c>
      <c r="U97">
        <f>VLOOKUP(E97, 'General Project Info'!$R$30:$W$40, 6, FALSE)</f>
        <v>1</v>
      </c>
      <c r="V97" s="18">
        <f t="shared" si="199"/>
        <v>0</v>
      </c>
      <c r="W97" s="18">
        <f>IFERROR(F97*INDEX('Unit Conversions Array'!$E$4:$Y$23, MATCH('Scenarios &amp; Measures'!E97, 'Unit Conversions Array'!$B$4:$B$23, 0), MATCH('Scenarios &amp; Measures'!G97, 'Unit Conversions Array'!$E$3:$Y$3, 0)), 0)</f>
        <v>0</v>
      </c>
      <c r="X97" s="19">
        <f t="shared" si="200"/>
        <v>0</v>
      </c>
      <c r="Y97" s="19">
        <f t="shared" si="201"/>
        <v>0</v>
      </c>
      <c r="Z97" s="19">
        <f t="shared" si="202"/>
        <v>0</v>
      </c>
      <c r="AA97" s="17">
        <f t="shared" si="213"/>
        <v>0</v>
      </c>
      <c r="AB97" s="17">
        <f t="shared" si="203"/>
        <v>20</v>
      </c>
      <c r="AC97" s="17">
        <f t="shared" si="204"/>
        <v>-20</v>
      </c>
      <c r="AD97" s="17">
        <f t="shared" si="205"/>
        <v>0</v>
      </c>
      <c r="AE97" s="18">
        <f t="shared" si="206"/>
        <v>0</v>
      </c>
      <c r="AF97" s="19">
        <f t="shared" si="194"/>
        <v>0</v>
      </c>
      <c r="AG97" s="12">
        <f t="shared" si="195"/>
        <v>0</v>
      </c>
      <c r="AH97" s="17">
        <f t="shared" si="207"/>
        <v>0</v>
      </c>
      <c r="AI97" s="23">
        <f>IF($V$10="RECs", -Y97/VLOOKUP("RECs", 'General Project Info'!$R$30:$W$40, 5, FALSE)*$V$11*IF($X$11=$Z$12, $X$10, (1/($Z$12-$X$11))*(1-($X$11/$Z$12)^$X$10)*$Z$12), 0)</f>
        <v>0</v>
      </c>
      <c r="AJ97" s="17">
        <f t="shared" si="208"/>
        <v>0</v>
      </c>
      <c r="AK97" s="17">
        <f t="shared" si="209"/>
        <v>0</v>
      </c>
      <c r="AL97" s="17">
        <f t="shared" si="210"/>
        <v>0</v>
      </c>
      <c r="AN97" s="12">
        <f t="shared" si="211"/>
        <v>0</v>
      </c>
      <c r="AO97" s="12">
        <f t="shared" si="215"/>
        <v>0</v>
      </c>
      <c r="AP97" s="12">
        <f t="shared" si="215"/>
        <v>0</v>
      </c>
      <c r="AQ97" s="12">
        <f t="shared" si="215"/>
        <v>0</v>
      </c>
      <c r="AR97" s="12">
        <f t="shared" si="215"/>
        <v>0</v>
      </c>
      <c r="AS97" s="12">
        <f t="shared" si="215"/>
        <v>0</v>
      </c>
      <c r="AT97" s="12">
        <f t="shared" si="215"/>
        <v>0</v>
      </c>
      <c r="AU97" s="12">
        <f t="shared" si="215"/>
        <v>0</v>
      </c>
      <c r="AV97" s="12">
        <f t="shared" si="215"/>
        <v>0</v>
      </c>
      <c r="AW97" s="12">
        <f t="shared" si="215"/>
        <v>0</v>
      </c>
      <c r="AX97" s="12">
        <f t="shared" si="215"/>
        <v>0</v>
      </c>
      <c r="AY97" s="12">
        <f t="shared" si="215"/>
        <v>0</v>
      </c>
      <c r="AZ97" s="12">
        <f t="shared" si="215"/>
        <v>0</v>
      </c>
      <c r="BA97" s="12">
        <f t="shared" si="215"/>
        <v>0</v>
      </c>
      <c r="BB97" s="12">
        <f t="shared" si="215"/>
        <v>0</v>
      </c>
      <c r="BC97" s="12">
        <f t="shared" si="215"/>
        <v>0</v>
      </c>
      <c r="BD97" s="12">
        <f t="shared" si="215"/>
        <v>0</v>
      </c>
      <c r="BE97" s="12">
        <f t="shared" si="215"/>
        <v>0</v>
      </c>
      <c r="BF97" s="12">
        <f t="shared" si="215"/>
        <v>0</v>
      </c>
      <c r="BG97" s="12">
        <f t="shared" si="215"/>
        <v>0</v>
      </c>
      <c r="BH97" s="12">
        <f t="shared" si="215"/>
        <v>0</v>
      </c>
      <c r="BI97" s="12">
        <f t="shared" si="215"/>
        <v>0</v>
      </c>
      <c r="BJ97" s="12">
        <f t="shared" si="215"/>
        <v>0</v>
      </c>
      <c r="BK97" s="12">
        <f t="shared" si="215"/>
        <v>0</v>
      </c>
      <c r="BL97" s="12">
        <f t="shared" si="215"/>
        <v>0</v>
      </c>
      <c r="BM97" s="12">
        <f t="shared" si="215"/>
        <v>0</v>
      </c>
      <c r="BN97" s="12">
        <f t="shared" si="215"/>
        <v>0</v>
      </c>
      <c r="BO97" s="12">
        <f t="shared" si="215"/>
        <v>0</v>
      </c>
      <c r="BP97" s="12">
        <f t="shared" si="215"/>
        <v>0</v>
      </c>
      <c r="BQ97" s="12">
        <f t="shared" si="215"/>
        <v>0</v>
      </c>
      <c r="BR97" s="12">
        <f t="shared" si="215"/>
        <v>0</v>
      </c>
      <c r="BS97" s="12">
        <f t="shared" si="215"/>
        <v>0</v>
      </c>
      <c r="BT97" s="12">
        <f t="shared" si="215"/>
        <v>0</v>
      </c>
      <c r="BU97" s="12">
        <f t="shared" si="215"/>
        <v>0</v>
      </c>
      <c r="BV97" s="12">
        <f t="shared" si="215"/>
        <v>0</v>
      </c>
      <c r="BW97" s="12">
        <f t="shared" si="215"/>
        <v>0</v>
      </c>
      <c r="BX97" s="12">
        <f t="shared" si="215"/>
        <v>0</v>
      </c>
      <c r="BY97" s="12">
        <f t="shared" si="215"/>
        <v>0</v>
      </c>
      <c r="BZ97" s="12">
        <f t="shared" si="215"/>
        <v>0</v>
      </c>
      <c r="CA97" s="12">
        <f t="shared" si="215"/>
        <v>0</v>
      </c>
      <c r="CB97" s="12">
        <f t="shared" si="215"/>
        <v>0</v>
      </c>
      <c r="CC97" s="12">
        <f t="shared" si="215"/>
        <v>0</v>
      </c>
      <c r="CD97" s="12">
        <f t="shared" si="215"/>
        <v>0</v>
      </c>
      <c r="CE97" s="12">
        <f t="shared" si="215"/>
        <v>0</v>
      </c>
      <c r="CF97" s="12">
        <f t="shared" si="215"/>
        <v>0</v>
      </c>
      <c r="CG97" s="12">
        <f t="shared" si="215"/>
        <v>0</v>
      </c>
      <c r="CH97" s="12">
        <f t="shared" si="215"/>
        <v>0</v>
      </c>
      <c r="CI97" s="12">
        <f t="shared" si="215"/>
        <v>0</v>
      </c>
      <c r="CJ97" s="12">
        <f t="shared" si="215"/>
        <v>0</v>
      </c>
      <c r="CK97" s="12">
        <f t="shared" si="215"/>
        <v>0</v>
      </c>
      <c r="CL97" s="12">
        <f t="shared" si="215"/>
        <v>0</v>
      </c>
      <c r="CM97" s="12">
        <f t="shared" si="215"/>
        <v>0</v>
      </c>
      <c r="CN97" s="12">
        <f t="shared" si="215"/>
        <v>0</v>
      </c>
      <c r="CO97" s="12">
        <f t="shared" si="215"/>
        <v>0</v>
      </c>
      <c r="CP97" s="12">
        <f t="shared" si="215"/>
        <v>0</v>
      </c>
      <c r="CQ97" s="12">
        <f t="shared" si="215"/>
        <v>0</v>
      </c>
      <c r="CR97" s="12">
        <f t="shared" si="215"/>
        <v>0</v>
      </c>
      <c r="CS97" s="12">
        <f t="shared" si="215"/>
        <v>0</v>
      </c>
      <c r="CT97" s="12">
        <f t="shared" si="215"/>
        <v>0</v>
      </c>
      <c r="CU97" s="12">
        <f t="shared" si="215"/>
        <v>0</v>
      </c>
      <c r="CV97" s="12">
        <f t="shared" si="215"/>
        <v>0</v>
      </c>
      <c r="CW97" s="12">
        <f t="shared" si="215"/>
        <v>0</v>
      </c>
      <c r="CX97" s="12">
        <f t="shared" si="215"/>
        <v>0</v>
      </c>
      <c r="CY97" s="12">
        <f t="shared" si="215"/>
        <v>0</v>
      </c>
      <c r="CZ97" s="12">
        <f t="shared" si="215"/>
        <v>0</v>
      </c>
      <c r="DA97" s="12">
        <f t="shared" si="214"/>
        <v>0</v>
      </c>
      <c r="DB97" s="12">
        <f t="shared" si="214"/>
        <v>0</v>
      </c>
      <c r="DC97" s="12">
        <f t="shared" si="214"/>
        <v>0</v>
      </c>
      <c r="DD97" s="12">
        <f t="shared" si="214"/>
        <v>0</v>
      </c>
      <c r="DE97" s="12">
        <f t="shared" si="214"/>
        <v>0</v>
      </c>
      <c r="DF97" s="12">
        <f t="shared" si="214"/>
        <v>0</v>
      </c>
      <c r="DG97" s="12">
        <f t="shared" si="214"/>
        <v>0</v>
      </c>
      <c r="DH97" s="12">
        <f t="shared" si="214"/>
        <v>0</v>
      </c>
      <c r="DI97" s="12">
        <f t="shared" si="214"/>
        <v>0</v>
      </c>
      <c r="DJ97" s="12">
        <f t="shared" si="214"/>
        <v>0</v>
      </c>
      <c r="DK97" s="12">
        <f t="shared" si="214"/>
        <v>0</v>
      </c>
      <c r="DL97" s="12">
        <f t="shared" si="214"/>
        <v>0</v>
      </c>
      <c r="DM97" s="12">
        <f t="shared" si="214"/>
        <v>0</v>
      </c>
      <c r="DN97" s="12">
        <f t="shared" si="214"/>
        <v>0</v>
      </c>
      <c r="DO97" s="12">
        <f t="shared" si="214"/>
        <v>0</v>
      </c>
      <c r="DP97" s="12">
        <f t="shared" si="214"/>
        <v>0</v>
      </c>
      <c r="DQ97" s="12">
        <f t="shared" si="214"/>
        <v>0</v>
      </c>
      <c r="DR97" s="12">
        <f t="shared" si="214"/>
        <v>0</v>
      </c>
      <c r="DS97" s="12">
        <f t="shared" si="214"/>
        <v>0</v>
      </c>
      <c r="DT97" s="12">
        <f t="shared" si="214"/>
        <v>0</v>
      </c>
      <c r="DU97" s="12">
        <f t="shared" si="214"/>
        <v>0</v>
      </c>
      <c r="DV97" s="12">
        <f t="shared" si="214"/>
        <v>0</v>
      </c>
      <c r="DW97" s="12">
        <f t="shared" si="214"/>
        <v>0</v>
      </c>
      <c r="DX97" s="12">
        <f t="shared" si="214"/>
        <v>0</v>
      </c>
      <c r="DY97" s="12">
        <f t="shared" si="214"/>
        <v>0</v>
      </c>
      <c r="DZ97" s="12">
        <f t="shared" si="214"/>
        <v>0</v>
      </c>
      <c r="EA97" s="12">
        <f t="shared" si="214"/>
        <v>0</v>
      </c>
      <c r="EB97" s="12">
        <f t="shared" si="214"/>
        <v>0</v>
      </c>
      <c r="EC97" s="12">
        <f t="shared" si="214"/>
        <v>0</v>
      </c>
      <c r="ED97" s="12">
        <f t="shared" si="214"/>
        <v>0</v>
      </c>
      <c r="EE97" s="12">
        <f t="shared" si="214"/>
        <v>0</v>
      </c>
      <c r="EF97" s="12">
        <f t="shared" si="214"/>
        <v>0</v>
      </c>
      <c r="EG97" s="12">
        <f t="shared" si="214"/>
        <v>0</v>
      </c>
      <c r="EH97" s="12">
        <f t="shared" si="214"/>
        <v>0</v>
      </c>
      <c r="EI97" s="12">
        <f t="shared" si="214"/>
        <v>0</v>
      </c>
      <c r="EJ97" s="12">
        <f t="shared" si="214"/>
        <v>0</v>
      </c>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row>
    <row r="98" spans="1:345" x14ac:dyDescent="0.35">
      <c r="A98" s="132"/>
      <c r="B98" s="27"/>
      <c r="C98" s="170"/>
      <c r="D98" s="170"/>
      <c r="E98" s="103"/>
      <c r="F98" s="105"/>
      <c r="G98" s="36" t="str">
        <f>IFERROR(VLOOKUP(E98, 'General Project Info'!$C$30:$I$40, 7, FALSE), "")</f>
        <v/>
      </c>
      <c r="H98" s="41">
        <f>IFERROR(X98*VLOOKUP(E98, 'General Project Info'!$R$30:$T$40, 3, FALSE), 0)</f>
        <v>0</v>
      </c>
      <c r="I98" s="42">
        <f>IFERROR(IF($T98="Yes", $X98*VLOOKUP($E98, 'General Project Info'!$R$30:$W$40, 5, FALSE), 0), 0)</f>
        <v>0</v>
      </c>
      <c r="J98" s="42">
        <f>IFERROR(IF($T98="No", $X98*VLOOKUP($E98, 'General Project Info'!$R$30:$W$40, 5, FALSE), 0), 0)</f>
        <v>0</v>
      </c>
      <c r="K98" s="108"/>
      <c r="L98" s="108"/>
      <c r="M98" s="109"/>
      <c r="N98" s="109"/>
      <c r="O98" s="109"/>
      <c r="P98" s="43">
        <f t="shared" si="198"/>
        <v>0</v>
      </c>
      <c r="Q98" s="27"/>
      <c r="R98" s="132"/>
      <c r="T98" s="18" t="e">
        <f>VLOOKUP($E98, 'Unit Conversions Array'!$B$4:$Z$23, 25, FALSE)</f>
        <v>#N/A</v>
      </c>
      <c r="U98">
        <f>VLOOKUP(E98, 'General Project Info'!$R$30:$W$40, 6, FALSE)</f>
        <v>1</v>
      </c>
      <c r="V98" s="18">
        <f t="shared" si="199"/>
        <v>0</v>
      </c>
      <c r="W98" s="18">
        <f>IFERROR(F98*INDEX('Unit Conversions Array'!$E$4:$Y$23, MATCH('Scenarios &amp; Measures'!E98, 'Unit Conversions Array'!$B$4:$B$23, 0), MATCH('Scenarios &amp; Measures'!G98, 'Unit Conversions Array'!$E$3:$Y$3, 0)), 0)</f>
        <v>0</v>
      </c>
      <c r="X98" s="19">
        <f t="shared" si="200"/>
        <v>0</v>
      </c>
      <c r="Y98" s="19">
        <f t="shared" si="201"/>
        <v>0</v>
      </c>
      <c r="Z98" s="19">
        <f t="shared" si="202"/>
        <v>0</v>
      </c>
      <c r="AA98" s="17">
        <f t="shared" si="213"/>
        <v>0</v>
      </c>
      <c r="AB98" s="17">
        <f t="shared" si="203"/>
        <v>20</v>
      </c>
      <c r="AC98" s="17">
        <f t="shared" si="204"/>
        <v>-20</v>
      </c>
      <c r="AD98" s="17">
        <f t="shared" si="205"/>
        <v>0</v>
      </c>
      <c r="AE98" s="18">
        <f t="shared" si="206"/>
        <v>0</v>
      </c>
      <c r="AF98" s="19">
        <f t="shared" si="194"/>
        <v>0</v>
      </c>
      <c r="AG98" s="12">
        <f t="shared" si="195"/>
        <v>0</v>
      </c>
      <c r="AH98" s="17">
        <f t="shared" si="207"/>
        <v>0</v>
      </c>
      <c r="AI98" s="23">
        <f>IF($V$10="RECs", -Y98/VLOOKUP("RECs", 'General Project Info'!$R$30:$W$40, 5, FALSE)*$V$11*IF($X$11=$Z$12, $X$10, (1/($Z$12-$X$11))*(1-($X$11/$Z$12)^$X$10)*$Z$12), 0)</f>
        <v>0</v>
      </c>
      <c r="AJ98" s="17">
        <f t="shared" si="208"/>
        <v>0</v>
      </c>
      <c r="AK98" s="17">
        <f t="shared" si="209"/>
        <v>0</v>
      </c>
      <c r="AL98" s="17">
        <f t="shared" si="210"/>
        <v>0</v>
      </c>
      <c r="AN98" s="12">
        <f t="shared" si="211"/>
        <v>0</v>
      </c>
      <c r="AO98" s="12">
        <f t="shared" si="215"/>
        <v>0</v>
      </c>
      <c r="AP98" s="12">
        <f t="shared" si="215"/>
        <v>0</v>
      </c>
      <c r="AQ98" s="12">
        <f t="shared" si="215"/>
        <v>0</v>
      </c>
      <c r="AR98" s="12">
        <f t="shared" si="215"/>
        <v>0</v>
      </c>
      <c r="AS98" s="12">
        <f t="shared" si="215"/>
        <v>0</v>
      </c>
      <c r="AT98" s="12">
        <f t="shared" si="215"/>
        <v>0</v>
      </c>
      <c r="AU98" s="12">
        <f t="shared" si="215"/>
        <v>0</v>
      </c>
      <c r="AV98" s="12">
        <f t="shared" si="215"/>
        <v>0</v>
      </c>
      <c r="AW98" s="12">
        <f t="shared" si="215"/>
        <v>0</v>
      </c>
      <c r="AX98" s="12">
        <f t="shared" si="215"/>
        <v>0</v>
      </c>
      <c r="AY98" s="12">
        <f t="shared" si="215"/>
        <v>0</v>
      </c>
      <c r="AZ98" s="12">
        <f t="shared" si="215"/>
        <v>0</v>
      </c>
      <c r="BA98" s="12">
        <f t="shared" si="215"/>
        <v>0</v>
      </c>
      <c r="BB98" s="12">
        <f t="shared" si="215"/>
        <v>0</v>
      </c>
      <c r="BC98" s="12">
        <f t="shared" si="215"/>
        <v>0</v>
      </c>
      <c r="BD98" s="12">
        <f t="shared" si="215"/>
        <v>0</v>
      </c>
      <c r="BE98" s="12">
        <f t="shared" si="215"/>
        <v>0</v>
      </c>
      <c r="BF98" s="12">
        <f t="shared" si="215"/>
        <v>0</v>
      </c>
      <c r="BG98" s="12">
        <f t="shared" si="215"/>
        <v>0</v>
      </c>
      <c r="BH98" s="12">
        <f t="shared" si="215"/>
        <v>0</v>
      </c>
      <c r="BI98" s="12">
        <f t="shared" si="215"/>
        <v>0</v>
      </c>
      <c r="BJ98" s="12">
        <f t="shared" si="215"/>
        <v>0</v>
      </c>
      <c r="BK98" s="12">
        <f t="shared" si="215"/>
        <v>0</v>
      </c>
      <c r="BL98" s="12">
        <f t="shared" si="215"/>
        <v>0</v>
      </c>
      <c r="BM98" s="12">
        <f t="shared" si="215"/>
        <v>0</v>
      </c>
      <c r="BN98" s="12">
        <f t="shared" si="215"/>
        <v>0</v>
      </c>
      <c r="BO98" s="12">
        <f t="shared" si="215"/>
        <v>0</v>
      </c>
      <c r="BP98" s="12">
        <f t="shared" si="215"/>
        <v>0</v>
      </c>
      <c r="BQ98" s="12">
        <f t="shared" si="215"/>
        <v>0</v>
      </c>
      <c r="BR98" s="12">
        <f t="shared" si="215"/>
        <v>0</v>
      </c>
      <c r="BS98" s="12">
        <f t="shared" si="215"/>
        <v>0</v>
      </c>
      <c r="BT98" s="12">
        <f t="shared" si="215"/>
        <v>0</v>
      </c>
      <c r="BU98" s="12">
        <f t="shared" si="215"/>
        <v>0</v>
      </c>
      <c r="BV98" s="12">
        <f t="shared" si="215"/>
        <v>0</v>
      </c>
      <c r="BW98" s="12">
        <f t="shared" si="215"/>
        <v>0</v>
      </c>
      <c r="BX98" s="12">
        <f t="shared" si="215"/>
        <v>0</v>
      </c>
      <c r="BY98" s="12">
        <f t="shared" si="215"/>
        <v>0</v>
      </c>
      <c r="BZ98" s="12">
        <f t="shared" si="215"/>
        <v>0</v>
      </c>
      <c r="CA98" s="12">
        <f t="shared" si="215"/>
        <v>0</v>
      </c>
      <c r="CB98" s="12">
        <f t="shared" si="215"/>
        <v>0</v>
      </c>
      <c r="CC98" s="12">
        <f t="shared" si="215"/>
        <v>0</v>
      </c>
      <c r="CD98" s="12">
        <f t="shared" si="215"/>
        <v>0</v>
      </c>
      <c r="CE98" s="12">
        <f t="shared" si="215"/>
        <v>0</v>
      </c>
      <c r="CF98" s="12">
        <f t="shared" si="215"/>
        <v>0</v>
      </c>
      <c r="CG98" s="12">
        <f t="shared" si="215"/>
        <v>0</v>
      </c>
      <c r="CH98" s="12">
        <f t="shared" si="215"/>
        <v>0</v>
      </c>
      <c r="CI98" s="12">
        <f t="shared" si="215"/>
        <v>0</v>
      </c>
      <c r="CJ98" s="12">
        <f t="shared" si="215"/>
        <v>0</v>
      </c>
      <c r="CK98" s="12">
        <f t="shared" si="215"/>
        <v>0</v>
      </c>
      <c r="CL98" s="12">
        <f t="shared" si="215"/>
        <v>0</v>
      </c>
      <c r="CM98" s="12">
        <f t="shared" si="215"/>
        <v>0</v>
      </c>
      <c r="CN98" s="12">
        <f t="shared" si="215"/>
        <v>0</v>
      </c>
      <c r="CO98" s="12">
        <f t="shared" si="215"/>
        <v>0</v>
      </c>
      <c r="CP98" s="12">
        <f t="shared" si="215"/>
        <v>0</v>
      </c>
      <c r="CQ98" s="12">
        <f t="shared" si="215"/>
        <v>0</v>
      </c>
      <c r="CR98" s="12">
        <f t="shared" si="215"/>
        <v>0</v>
      </c>
      <c r="CS98" s="12">
        <f t="shared" si="215"/>
        <v>0</v>
      </c>
      <c r="CT98" s="12">
        <f t="shared" si="215"/>
        <v>0</v>
      </c>
      <c r="CU98" s="12">
        <f t="shared" si="215"/>
        <v>0</v>
      </c>
      <c r="CV98" s="12">
        <f t="shared" si="215"/>
        <v>0</v>
      </c>
      <c r="CW98" s="12">
        <f t="shared" si="215"/>
        <v>0</v>
      </c>
      <c r="CX98" s="12">
        <f t="shared" si="215"/>
        <v>0</v>
      </c>
      <c r="CY98" s="12">
        <f t="shared" si="215"/>
        <v>0</v>
      </c>
      <c r="CZ98" s="12">
        <f t="shared" ref="CZ98:EJ101" si="216">IFERROR(IF(CZ$38&gt;=$X$10, 0, IF(MOD($AD98+CZ$38, $K98)=0, (($M98-$N98)*$Z$11^CZ$38), 0)), 0)</f>
        <v>0</v>
      </c>
      <c r="DA98" s="12">
        <f t="shared" si="216"/>
        <v>0</v>
      </c>
      <c r="DB98" s="12">
        <f t="shared" si="216"/>
        <v>0</v>
      </c>
      <c r="DC98" s="12">
        <f t="shared" si="216"/>
        <v>0</v>
      </c>
      <c r="DD98" s="12">
        <f t="shared" si="216"/>
        <v>0</v>
      </c>
      <c r="DE98" s="12">
        <f t="shared" si="216"/>
        <v>0</v>
      </c>
      <c r="DF98" s="12">
        <f t="shared" si="216"/>
        <v>0</v>
      </c>
      <c r="DG98" s="12">
        <f t="shared" si="216"/>
        <v>0</v>
      </c>
      <c r="DH98" s="12">
        <f t="shared" si="216"/>
        <v>0</v>
      </c>
      <c r="DI98" s="12">
        <f t="shared" si="216"/>
        <v>0</v>
      </c>
      <c r="DJ98" s="12">
        <f t="shared" si="216"/>
        <v>0</v>
      </c>
      <c r="DK98" s="12">
        <f t="shared" si="216"/>
        <v>0</v>
      </c>
      <c r="DL98" s="12">
        <f t="shared" si="216"/>
        <v>0</v>
      </c>
      <c r="DM98" s="12">
        <f t="shared" si="216"/>
        <v>0</v>
      </c>
      <c r="DN98" s="12">
        <f t="shared" si="216"/>
        <v>0</v>
      </c>
      <c r="DO98" s="12">
        <f t="shared" si="216"/>
        <v>0</v>
      </c>
      <c r="DP98" s="12">
        <f t="shared" si="216"/>
        <v>0</v>
      </c>
      <c r="DQ98" s="12">
        <f t="shared" si="216"/>
        <v>0</v>
      </c>
      <c r="DR98" s="12">
        <f t="shared" si="216"/>
        <v>0</v>
      </c>
      <c r="DS98" s="12">
        <f t="shared" si="216"/>
        <v>0</v>
      </c>
      <c r="DT98" s="12">
        <f t="shared" si="216"/>
        <v>0</v>
      </c>
      <c r="DU98" s="12">
        <f t="shared" si="216"/>
        <v>0</v>
      </c>
      <c r="DV98" s="12">
        <f t="shared" si="216"/>
        <v>0</v>
      </c>
      <c r="DW98" s="12">
        <f t="shared" si="216"/>
        <v>0</v>
      </c>
      <c r="DX98" s="12">
        <f t="shared" si="216"/>
        <v>0</v>
      </c>
      <c r="DY98" s="12">
        <f t="shared" si="216"/>
        <v>0</v>
      </c>
      <c r="DZ98" s="12">
        <f t="shared" si="216"/>
        <v>0</v>
      </c>
      <c r="EA98" s="12">
        <f t="shared" si="216"/>
        <v>0</v>
      </c>
      <c r="EB98" s="12">
        <f t="shared" si="216"/>
        <v>0</v>
      </c>
      <c r="EC98" s="12">
        <f t="shared" si="216"/>
        <v>0</v>
      </c>
      <c r="ED98" s="12">
        <f t="shared" si="216"/>
        <v>0</v>
      </c>
      <c r="EE98" s="12">
        <f t="shared" si="216"/>
        <v>0</v>
      </c>
      <c r="EF98" s="12">
        <f t="shared" si="216"/>
        <v>0</v>
      </c>
      <c r="EG98" s="12">
        <f t="shared" si="216"/>
        <v>0</v>
      </c>
      <c r="EH98" s="12">
        <f t="shared" si="216"/>
        <v>0</v>
      </c>
      <c r="EI98" s="12">
        <f t="shared" si="216"/>
        <v>0</v>
      </c>
      <c r="EJ98" s="12">
        <f t="shared" si="216"/>
        <v>0</v>
      </c>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row>
    <row r="99" spans="1:345" x14ac:dyDescent="0.35">
      <c r="A99" s="132"/>
      <c r="B99" s="27"/>
      <c r="C99" s="170"/>
      <c r="D99" s="170"/>
      <c r="E99" s="103"/>
      <c r="F99" s="105"/>
      <c r="G99" s="36" t="str">
        <f>IFERROR(VLOOKUP(E99, 'General Project Info'!$C$30:$I$40, 7, FALSE), "")</f>
        <v/>
      </c>
      <c r="H99" s="41">
        <f>IFERROR(X99*VLOOKUP(E99, 'General Project Info'!$R$30:$T$40, 3, FALSE), 0)</f>
        <v>0</v>
      </c>
      <c r="I99" s="42">
        <f>IFERROR(IF($T99="Yes", $X99*VLOOKUP($E99, 'General Project Info'!$R$30:$W$40, 5, FALSE), 0), 0)</f>
        <v>0</v>
      </c>
      <c r="J99" s="42">
        <f>IFERROR(IF($T99="No", $X99*VLOOKUP($E99, 'General Project Info'!$R$30:$W$40, 5, FALSE), 0), 0)</f>
        <v>0</v>
      </c>
      <c r="K99" s="108"/>
      <c r="L99" s="108"/>
      <c r="M99" s="109"/>
      <c r="N99" s="109"/>
      <c r="O99" s="109"/>
      <c r="P99" s="43">
        <f t="shared" si="198"/>
        <v>0</v>
      </c>
      <c r="Q99" s="27"/>
      <c r="R99" s="132"/>
      <c r="T99" s="18" t="e">
        <f>VLOOKUP($E99, 'Unit Conversions Array'!$B$4:$Z$23, 25, FALSE)</f>
        <v>#N/A</v>
      </c>
      <c r="U99">
        <f>VLOOKUP(E99, 'General Project Info'!$R$30:$W$40, 6, FALSE)</f>
        <v>1</v>
      </c>
      <c r="V99" s="18">
        <f t="shared" si="199"/>
        <v>0</v>
      </c>
      <c r="W99" s="18">
        <f>IFERROR(F99*INDEX('Unit Conversions Array'!$E$4:$Y$23, MATCH('Scenarios &amp; Measures'!E99, 'Unit Conversions Array'!$B$4:$B$23, 0), MATCH('Scenarios &amp; Measures'!G99, 'Unit Conversions Array'!$E$3:$Y$3, 0)), 0)</f>
        <v>0</v>
      </c>
      <c r="X99" s="19">
        <f t="shared" si="200"/>
        <v>0</v>
      </c>
      <c r="Y99" s="19">
        <f t="shared" si="201"/>
        <v>0</v>
      </c>
      <c r="Z99" s="19">
        <f t="shared" si="202"/>
        <v>0</v>
      </c>
      <c r="AA99" s="17">
        <f t="shared" si="213"/>
        <v>0</v>
      </c>
      <c r="AB99" s="17">
        <f t="shared" si="203"/>
        <v>20</v>
      </c>
      <c r="AC99" s="17">
        <f t="shared" si="204"/>
        <v>-20</v>
      </c>
      <c r="AD99" s="17">
        <f t="shared" si="205"/>
        <v>0</v>
      </c>
      <c r="AE99" s="18">
        <f t="shared" si="206"/>
        <v>0</v>
      </c>
      <c r="AF99" s="19">
        <f t="shared" si="194"/>
        <v>0</v>
      </c>
      <c r="AG99" s="12">
        <f t="shared" si="195"/>
        <v>0</v>
      </c>
      <c r="AH99" s="17">
        <f t="shared" si="207"/>
        <v>0</v>
      </c>
      <c r="AI99" s="23">
        <f>IF($V$10="RECs", -Y99/VLOOKUP("RECs", 'General Project Info'!$R$30:$W$40, 5, FALSE)*$V$11*IF($X$11=$Z$12, $X$10, (1/($Z$12-$X$11))*(1-($X$11/$Z$12)^$X$10)*$Z$12), 0)</f>
        <v>0</v>
      </c>
      <c r="AJ99" s="17">
        <f t="shared" si="208"/>
        <v>0</v>
      </c>
      <c r="AK99" s="17">
        <f t="shared" si="209"/>
        <v>0</v>
      </c>
      <c r="AL99" s="17">
        <f t="shared" si="210"/>
        <v>0</v>
      </c>
      <c r="AN99" s="12">
        <f t="shared" si="211"/>
        <v>0</v>
      </c>
      <c r="AO99" s="12">
        <f t="shared" ref="AO99:CZ102" si="217">IFERROR(IF(AO$38&gt;=$X$10, 0, IF(MOD($AD99+AO$38, $K99)=0, (($M99-$N99)*$Z$11^AO$38), 0)), 0)</f>
        <v>0</v>
      </c>
      <c r="AP99" s="12">
        <f t="shared" si="217"/>
        <v>0</v>
      </c>
      <c r="AQ99" s="12">
        <f t="shared" si="217"/>
        <v>0</v>
      </c>
      <c r="AR99" s="12">
        <f t="shared" si="217"/>
        <v>0</v>
      </c>
      <c r="AS99" s="12">
        <f t="shared" si="217"/>
        <v>0</v>
      </c>
      <c r="AT99" s="12">
        <f t="shared" si="217"/>
        <v>0</v>
      </c>
      <c r="AU99" s="12">
        <f t="shared" si="217"/>
        <v>0</v>
      </c>
      <c r="AV99" s="12">
        <f t="shared" si="217"/>
        <v>0</v>
      </c>
      <c r="AW99" s="12">
        <f t="shared" si="217"/>
        <v>0</v>
      </c>
      <c r="AX99" s="12">
        <f t="shared" si="217"/>
        <v>0</v>
      </c>
      <c r="AY99" s="12">
        <f t="shared" si="217"/>
        <v>0</v>
      </c>
      <c r="AZ99" s="12">
        <f t="shared" si="217"/>
        <v>0</v>
      </c>
      <c r="BA99" s="12">
        <f t="shared" si="217"/>
        <v>0</v>
      </c>
      <c r="BB99" s="12">
        <f t="shared" si="217"/>
        <v>0</v>
      </c>
      <c r="BC99" s="12">
        <f t="shared" si="217"/>
        <v>0</v>
      </c>
      <c r="BD99" s="12">
        <f t="shared" si="217"/>
        <v>0</v>
      </c>
      <c r="BE99" s="12">
        <f t="shared" si="217"/>
        <v>0</v>
      </c>
      <c r="BF99" s="12">
        <f t="shared" si="217"/>
        <v>0</v>
      </c>
      <c r="BG99" s="12">
        <f t="shared" si="217"/>
        <v>0</v>
      </c>
      <c r="BH99" s="12">
        <f t="shared" si="217"/>
        <v>0</v>
      </c>
      <c r="BI99" s="12">
        <f t="shared" si="217"/>
        <v>0</v>
      </c>
      <c r="BJ99" s="12">
        <f t="shared" si="217"/>
        <v>0</v>
      </c>
      <c r="BK99" s="12">
        <f t="shared" si="217"/>
        <v>0</v>
      </c>
      <c r="BL99" s="12">
        <f t="shared" si="217"/>
        <v>0</v>
      </c>
      <c r="BM99" s="12">
        <f t="shared" si="217"/>
        <v>0</v>
      </c>
      <c r="BN99" s="12">
        <f t="shared" si="217"/>
        <v>0</v>
      </c>
      <c r="BO99" s="12">
        <f t="shared" si="217"/>
        <v>0</v>
      </c>
      <c r="BP99" s="12">
        <f t="shared" si="217"/>
        <v>0</v>
      </c>
      <c r="BQ99" s="12">
        <f t="shared" si="217"/>
        <v>0</v>
      </c>
      <c r="BR99" s="12">
        <f t="shared" si="217"/>
        <v>0</v>
      </c>
      <c r="BS99" s="12">
        <f t="shared" si="217"/>
        <v>0</v>
      </c>
      <c r="BT99" s="12">
        <f t="shared" si="217"/>
        <v>0</v>
      </c>
      <c r="BU99" s="12">
        <f t="shared" si="217"/>
        <v>0</v>
      </c>
      <c r="BV99" s="12">
        <f t="shared" si="217"/>
        <v>0</v>
      </c>
      <c r="BW99" s="12">
        <f t="shared" si="217"/>
        <v>0</v>
      </c>
      <c r="BX99" s="12">
        <f t="shared" si="217"/>
        <v>0</v>
      </c>
      <c r="BY99" s="12">
        <f t="shared" si="217"/>
        <v>0</v>
      </c>
      <c r="BZ99" s="12">
        <f t="shared" si="217"/>
        <v>0</v>
      </c>
      <c r="CA99" s="12">
        <f t="shared" si="217"/>
        <v>0</v>
      </c>
      <c r="CB99" s="12">
        <f t="shared" si="217"/>
        <v>0</v>
      </c>
      <c r="CC99" s="12">
        <f t="shared" si="217"/>
        <v>0</v>
      </c>
      <c r="CD99" s="12">
        <f t="shared" si="217"/>
        <v>0</v>
      </c>
      <c r="CE99" s="12">
        <f t="shared" si="217"/>
        <v>0</v>
      </c>
      <c r="CF99" s="12">
        <f t="shared" si="217"/>
        <v>0</v>
      </c>
      <c r="CG99" s="12">
        <f t="shared" si="217"/>
        <v>0</v>
      </c>
      <c r="CH99" s="12">
        <f t="shared" si="217"/>
        <v>0</v>
      </c>
      <c r="CI99" s="12">
        <f t="shared" si="217"/>
        <v>0</v>
      </c>
      <c r="CJ99" s="12">
        <f t="shared" si="217"/>
        <v>0</v>
      </c>
      <c r="CK99" s="12">
        <f t="shared" si="217"/>
        <v>0</v>
      </c>
      <c r="CL99" s="12">
        <f t="shared" si="217"/>
        <v>0</v>
      </c>
      <c r="CM99" s="12">
        <f t="shared" si="217"/>
        <v>0</v>
      </c>
      <c r="CN99" s="12">
        <f t="shared" si="217"/>
        <v>0</v>
      </c>
      <c r="CO99" s="12">
        <f t="shared" si="217"/>
        <v>0</v>
      </c>
      <c r="CP99" s="12">
        <f t="shared" si="217"/>
        <v>0</v>
      </c>
      <c r="CQ99" s="12">
        <f t="shared" si="217"/>
        <v>0</v>
      </c>
      <c r="CR99" s="12">
        <f t="shared" si="217"/>
        <v>0</v>
      </c>
      <c r="CS99" s="12">
        <f t="shared" si="217"/>
        <v>0</v>
      </c>
      <c r="CT99" s="12">
        <f t="shared" si="217"/>
        <v>0</v>
      </c>
      <c r="CU99" s="12">
        <f t="shared" si="217"/>
        <v>0</v>
      </c>
      <c r="CV99" s="12">
        <f t="shared" si="217"/>
        <v>0</v>
      </c>
      <c r="CW99" s="12">
        <f t="shared" si="217"/>
        <v>0</v>
      </c>
      <c r="CX99" s="12">
        <f t="shared" si="217"/>
        <v>0</v>
      </c>
      <c r="CY99" s="12">
        <f t="shared" si="217"/>
        <v>0</v>
      </c>
      <c r="CZ99" s="12">
        <f t="shared" si="217"/>
        <v>0</v>
      </c>
      <c r="DA99" s="12">
        <f t="shared" si="216"/>
        <v>0</v>
      </c>
      <c r="DB99" s="12">
        <f t="shared" si="216"/>
        <v>0</v>
      </c>
      <c r="DC99" s="12">
        <f t="shared" si="216"/>
        <v>0</v>
      </c>
      <c r="DD99" s="12">
        <f t="shared" si="216"/>
        <v>0</v>
      </c>
      <c r="DE99" s="12">
        <f t="shared" si="216"/>
        <v>0</v>
      </c>
      <c r="DF99" s="12">
        <f t="shared" si="216"/>
        <v>0</v>
      </c>
      <c r="DG99" s="12">
        <f t="shared" si="216"/>
        <v>0</v>
      </c>
      <c r="DH99" s="12">
        <f t="shared" si="216"/>
        <v>0</v>
      </c>
      <c r="DI99" s="12">
        <f t="shared" si="216"/>
        <v>0</v>
      </c>
      <c r="DJ99" s="12">
        <f t="shared" si="216"/>
        <v>0</v>
      </c>
      <c r="DK99" s="12">
        <f t="shared" si="216"/>
        <v>0</v>
      </c>
      <c r="DL99" s="12">
        <f t="shared" si="216"/>
        <v>0</v>
      </c>
      <c r="DM99" s="12">
        <f t="shared" si="216"/>
        <v>0</v>
      </c>
      <c r="DN99" s="12">
        <f t="shared" si="216"/>
        <v>0</v>
      </c>
      <c r="DO99" s="12">
        <f t="shared" si="216"/>
        <v>0</v>
      </c>
      <c r="DP99" s="12">
        <f t="shared" si="216"/>
        <v>0</v>
      </c>
      <c r="DQ99" s="12">
        <f t="shared" si="216"/>
        <v>0</v>
      </c>
      <c r="DR99" s="12">
        <f t="shared" si="216"/>
        <v>0</v>
      </c>
      <c r="DS99" s="12">
        <f t="shared" si="216"/>
        <v>0</v>
      </c>
      <c r="DT99" s="12">
        <f t="shared" si="216"/>
        <v>0</v>
      </c>
      <c r="DU99" s="12">
        <f t="shared" si="216"/>
        <v>0</v>
      </c>
      <c r="DV99" s="12">
        <f t="shared" si="216"/>
        <v>0</v>
      </c>
      <c r="DW99" s="12">
        <f t="shared" si="216"/>
        <v>0</v>
      </c>
      <c r="DX99" s="12">
        <f t="shared" si="216"/>
        <v>0</v>
      </c>
      <c r="DY99" s="12">
        <f t="shared" si="216"/>
        <v>0</v>
      </c>
      <c r="DZ99" s="12">
        <f t="shared" si="216"/>
        <v>0</v>
      </c>
      <c r="EA99" s="12">
        <f t="shared" si="216"/>
        <v>0</v>
      </c>
      <c r="EB99" s="12">
        <f t="shared" si="216"/>
        <v>0</v>
      </c>
      <c r="EC99" s="12">
        <f t="shared" si="216"/>
        <v>0</v>
      </c>
      <c r="ED99" s="12">
        <f t="shared" si="216"/>
        <v>0</v>
      </c>
      <c r="EE99" s="12">
        <f t="shared" si="216"/>
        <v>0</v>
      </c>
      <c r="EF99" s="12">
        <f t="shared" si="216"/>
        <v>0</v>
      </c>
      <c r="EG99" s="12">
        <f t="shared" si="216"/>
        <v>0</v>
      </c>
      <c r="EH99" s="12">
        <f t="shared" si="216"/>
        <v>0</v>
      </c>
      <c r="EI99" s="12">
        <f t="shared" si="216"/>
        <v>0</v>
      </c>
      <c r="EJ99" s="12">
        <f t="shared" si="216"/>
        <v>0</v>
      </c>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row>
    <row r="100" spans="1:345" x14ac:dyDescent="0.35">
      <c r="A100" s="132"/>
      <c r="B100" s="27"/>
      <c r="C100" s="170"/>
      <c r="D100" s="170"/>
      <c r="E100" s="103"/>
      <c r="F100" s="105"/>
      <c r="G100" s="36" t="str">
        <f>IFERROR(VLOOKUP(E100, 'General Project Info'!$C$30:$I$40, 7, FALSE), "")</f>
        <v/>
      </c>
      <c r="H100" s="41">
        <f>IFERROR(X100*VLOOKUP(E100, 'General Project Info'!$R$30:$T$40, 3, FALSE), 0)</f>
        <v>0</v>
      </c>
      <c r="I100" s="42">
        <f>IFERROR(IF($T100="Yes", $X100*VLOOKUP($E100, 'General Project Info'!$R$30:$W$40, 5, FALSE), 0), 0)</f>
        <v>0</v>
      </c>
      <c r="J100" s="42">
        <f>IFERROR(IF($T100="No", $X100*VLOOKUP($E100, 'General Project Info'!$R$30:$W$40, 5, FALSE), 0), 0)</f>
        <v>0</v>
      </c>
      <c r="K100" s="108"/>
      <c r="L100" s="108"/>
      <c r="M100" s="109"/>
      <c r="N100" s="109"/>
      <c r="O100" s="109"/>
      <c r="P100" s="43">
        <f t="shared" si="198"/>
        <v>0</v>
      </c>
      <c r="Q100" s="27"/>
      <c r="R100" s="132"/>
      <c r="T100" s="18" t="e">
        <f>VLOOKUP($E100, 'Unit Conversions Array'!$B$4:$Z$23, 25, FALSE)</f>
        <v>#N/A</v>
      </c>
      <c r="U100">
        <f>VLOOKUP(E100, 'General Project Info'!$R$30:$W$40, 6, FALSE)</f>
        <v>1</v>
      </c>
      <c r="V100" s="18">
        <f t="shared" si="199"/>
        <v>0</v>
      </c>
      <c r="W100" s="18">
        <f>IFERROR(F100*INDEX('Unit Conversions Array'!$E$4:$Y$23, MATCH('Scenarios &amp; Measures'!E100, 'Unit Conversions Array'!$B$4:$B$23, 0), MATCH('Scenarios &amp; Measures'!G100, 'Unit Conversions Array'!$E$3:$Y$3, 0)), 0)</f>
        <v>0</v>
      </c>
      <c r="X100" s="19">
        <f t="shared" si="200"/>
        <v>0</v>
      </c>
      <c r="Y100" s="19">
        <f t="shared" si="201"/>
        <v>0</v>
      </c>
      <c r="Z100" s="19">
        <f t="shared" si="202"/>
        <v>0</v>
      </c>
      <c r="AA100" s="17">
        <f t="shared" si="213"/>
        <v>0</v>
      </c>
      <c r="AB100" s="17">
        <f t="shared" si="203"/>
        <v>20</v>
      </c>
      <c r="AC100" s="17">
        <f t="shared" si="204"/>
        <v>-20</v>
      </c>
      <c r="AD100" s="17">
        <f t="shared" si="205"/>
        <v>0</v>
      </c>
      <c r="AE100" s="18">
        <f t="shared" si="206"/>
        <v>0</v>
      </c>
      <c r="AF100" s="19">
        <f t="shared" si="194"/>
        <v>0</v>
      </c>
      <c r="AG100" s="12">
        <f t="shared" si="195"/>
        <v>0</v>
      </c>
      <c r="AH100" s="17">
        <f t="shared" si="207"/>
        <v>0</v>
      </c>
      <c r="AI100" s="23">
        <f>IF($V$10="RECs", -Y100/VLOOKUP("RECs", 'General Project Info'!$R$30:$W$40, 5, FALSE)*$V$11*IF($X$11=$Z$12, $X$10, (1/($Z$12-$X$11))*(1-($X$11/$Z$12)^$X$10)*$Z$12), 0)</f>
        <v>0</v>
      </c>
      <c r="AJ100" s="17">
        <f t="shared" si="208"/>
        <v>0</v>
      </c>
      <c r="AK100" s="17">
        <f t="shared" si="209"/>
        <v>0</v>
      </c>
      <c r="AL100" s="17">
        <f t="shared" si="210"/>
        <v>0</v>
      </c>
      <c r="AN100" s="12">
        <f t="shared" si="211"/>
        <v>0</v>
      </c>
      <c r="AO100" s="12">
        <f t="shared" si="217"/>
        <v>0</v>
      </c>
      <c r="AP100" s="12">
        <f t="shared" si="217"/>
        <v>0</v>
      </c>
      <c r="AQ100" s="12">
        <f t="shared" si="217"/>
        <v>0</v>
      </c>
      <c r="AR100" s="12">
        <f t="shared" si="217"/>
        <v>0</v>
      </c>
      <c r="AS100" s="12">
        <f t="shared" si="217"/>
        <v>0</v>
      </c>
      <c r="AT100" s="12">
        <f t="shared" si="217"/>
        <v>0</v>
      </c>
      <c r="AU100" s="12">
        <f t="shared" si="217"/>
        <v>0</v>
      </c>
      <c r="AV100" s="12">
        <f t="shared" si="217"/>
        <v>0</v>
      </c>
      <c r="AW100" s="12">
        <f t="shared" si="217"/>
        <v>0</v>
      </c>
      <c r="AX100" s="12">
        <f t="shared" si="217"/>
        <v>0</v>
      </c>
      <c r="AY100" s="12">
        <f t="shared" si="217"/>
        <v>0</v>
      </c>
      <c r="AZ100" s="12">
        <f t="shared" si="217"/>
        <v>0</v>
      </c>
      <c r="BA100" s="12">
        <f t="shared" si="217"/>
        <v>0</v>
      </c>
      <c r="BB100" s="12">
        <f t="shared" si="217"/>
        <v>0</v>
      </c>
      <c r="BC100" s="12">
        <f t="shared" si="217"/>
        <v>0</v>
      </c>
      <c r="BD100" s="12">
        <f t="shared" si="217"/>
        <v>0</v>
      </c>
      <c r="BE100" s="12">
        <f t="shared" si="217"/>
        <v>0</v>
      </c>
      <c r="BF100" s="12">
        <f t="shared" si="217"/>
        <v>0</v>
      </c>
      <c r="BG100" s="12">
        <f t="shared" si="217"/>
        <v>0</v>
      </c>
      <c r="BH100" s="12">
        <f t="shared" si="217"/>
        <v>0</v>
      </c>
      <c r="BI100" s="12">
        <f t="shared" si="217"/>
        <v>0</v>
      </c>
      <c r="BJ100" s="12">
        <f t="shared" si="217"/>
        <v>0</v>
      </c>
      <c r="BK100" s="12">
        <f t="shared" si="217"/>
        <v>0</v>
      </c>
      <c r="BL100" s="12">
        <f t="shared" si="217"/>
        <v>0</v>
      </c>
      <c r="BM100" s="12">
        <f t="shared" si="217"/>
        <v>0</v>
      </c>
      <c r="BN100" s="12">
        <f t="shared" si="217"/>
        <v>0</v>
      </c>
      <c r="BO100" s="12">
        <f t="shared" si="217"/>
        <v>0</v>
      </c>
      <c r="BP100" s="12">
        <f t="shared" si="217"/>
        <v>0</v>
      </c>
      <c r="BQ100" s="12">
        <f t="shared" si="217"/>
        <v>0</v>
      </c>
      <c r="BR100" s="12">
        <f t="shared" si="217"/>
        <v>0</v>
      </c>
      <c r="BS100" s="12">
        <f t="shared" si="217"/>
        <v>0</v>
      </c>
      <c r="BT100" s="12">
        <f t="shared" si="217"/>
        <v>0</v>
      </c>
      <c r="BU100" s="12">
        <f t="shared" si="217"/>
        <v>0</v>
      </c>
      <c r="BV100" s="12">
        <f t="shared" si="217"/>
        <v>0</v>
      </c>
      <c r="BW100" s="12">
        <f t="shared" si="217"/>
        <v>0</v>
      </c>
      <c r="BX100" s="12">
        <f t="shared" si="217"/>
        <v>0</v>
      </c>
      <c r="BY100" s="12">
        <f t="shared" si="217"/>
        <v>0</v>
      </c>
      <c r="BZ100" s="12">
        <f t="shared" si="217"/>
        <v>0</v>
      </c>
      <c r="CA100" s="12">
        <f t="shared" si="217"/>
        <v>0</v>
      </c>
      <c r="CB100" s="12">
        <f t="shared" si="217"/>
        <v>0</v>
      </c>
      <c r="CC100" s="12">
        <f t="shared" si="217"/>
        <v>0</v>
      </c>
      <c r="CD100" s="12">
        <f t="shared" si="217"/>
        <v>0</v>
      </c>
      <c r="CE100" s="12">
        <f t="shared" si="217"/>
        <v>0</v>
      </c>
      <c r="CF100" s="12">
        <f t="shared" si="217"/>
        <v>0</v>
      </c>
      <c r="CG100" s="12">
        <f t="shared" si="217"/>
        <v>0</v>
      </c>
      <c r="CH100" s="12">
        <f t="shared" si="217"/>
        <v>0</v>
      </c>
      <c r="CI100" s="12">
        <f t="shared" si="217"/>
        <v>0</v>
      </c>
      <c r="CJ100" s="12">
        <f t="shared" si="217"/>
        <v>0</v>
      </c>
      <c r="CK100" s="12">
        <f t="shared" si="217"/>
        <v>0</v>
      </c>
      <c r="CL100" s="12">
        <f t="shared" si="217"/>
        <v>0</v>
      </c>
      <c r="CM100" s="12">
        <f t="shared" si="217"/>
        <v>0</v>
      </c>
      <c r="CN100" s="12">
        <f t="shared" si="217"/>
        <v>0</v>
      </c>
      <c r="CO100" s="12">
        <f t="shared" si="217"/>
        <v>0</v>
      </c>
      <c r="CP100" s="12">
        <f t="shared" si="217"/>
        <v>0</v>
      </c>
      <c r="CQ100" s="12">
        <f t="shared" si="217"/>
        <v>0</v>
      </c>
      <c r="CR100" s="12">
        <f t="shared" si="217"/>
        <v>0</v>
      </c>
      <c r="CS100" s="12">
        <f t="shared" si="217"/>
        <v>0</v>
      </c>
      <c r="CT100" s="12">
        <f t="shared" si="217"/>
        <v>0</v>
      </c>
      <c r="CU100" s="12">
        <f t="shared" si="217"/>
        <v>0</v>
      </c>
      <c r="CV100" s="12">
        <f t="shared" si="217"/>
        <v>0</v>
      </c>
      <c r="CW100" s="12">
        <f t="shared" si="217"/>
        <v>0</v>
      </c>
      <c r="CX100" s="12">
        <f t="shared" si="217"/>
        <v>0</v>
      </c>
      <c r="CY100" s="12">
        <f t="shared" si="217"/>
        <v>0</v>
      </c>
      <c r="CZ100" s="12">
        <f t="shared" si="217"/>
        <v>0</v>
      </c>
      <c r="DA100" s="12">
        <f t="shared" si="216"/>
        <v>0</v>
      </c>
      <c r="DB100" s="12">
        <f t="shared" si="216"/>
        <v>0</v>
      </c>
      <c r="DC100" s="12">
        <f t="shared" si="216"/>
        <v>0</v>
      </c>
      <c r="DD100" s="12">
        <f t="shared" si="216"/>
        <v>0</v>
      </c>
      <c r="DE100" s="12">
        <f t="shared" si="216"/>
        <v>0</v>
      </c>
      <c r="DF100" s="12">
        <f t="shared" si="216"/>
        <v>0</v>
      </c>
      <c r="DG100" s="12">
        <f t="shared" si="216"/>
        <v>0</v>
      </c>
      <c r="DH100" s="12">
        <f t="shared" si="216"/>
        <v>0</v>
      </c>
      <c r="DI100" s="12">
        <f t="shared" si="216"/>
        <v>0</v>
      </c>
      <c r="DJ100" s="12">
        <f t="shared" si="216"/>
        <v>0</v>
      </c>
      <c r="DK100" s="12">
        <f t="shared" si="216"/>
        <v>0</v>
      </c>
      <c r="DL100" s="12">
        <f t="shared" si="216"/>
        <v>0</v>
      </c>
      <c r="DM100" s="12">
        <f t="shared" si="216"/>
        <v>0</v>
      </c>
      <c r="DN100" s="12">
        <f t="shared" si="216"/>
        <v>0</v>
      </c>
      <c r="DO100" s="12">
        <f t="shared" si="216"/>
        <v>0</v>
      </c>
      <c r="DP100" s="12">
        <f t="shared" si="216"/>
        <v>0</v>
      </c>
      <c r="DQ100" s="12">
        <f t="shared" si="216"/>
        <v>0</v>
      </c>
      <c r="DR100" s="12">
        <f t="shared" si="216"/>
        <v>0</v>
      </c>
      <c r="DS100" s="12">
        <f t="shared" si="216"/>
        <v>0</v>
      </c>
      <c r="DT100" s="12">
        <f t="shared" si="216"/>
        <v>0</v>
      </c>
      <c r="DU100" s="12">
        <f t="shared" si="216"/>
        <v>0</v>
      </c>
      <c r="DV100" s="12">
        <f t="shared" si="216"/>
        <v>0</v>
      </c>
      <c r="DW100" s="12">
        <f t="shared" si="216"/>
        <v>0</v>
      </c>
      <c r="DX100" s="12">
        <f t="shared" si="216"/>
        <v>0</v>
      </c>
      <c r="DY100" s="12">
        <f t="shared" si="216"/>
        <v>0</v>
      </c>
      <c r="DZ100" s="12">
        <f t="shared" si="216"/>
        <v>0</v>
      </c>
      <c r="EA100" s="12">
        <f t="shared" si="216"/>
        <v>0</v>
      </c>
      <c r="EB100" s="12">
        <f t="shared" si="216"/>
        <v>0</v>
      </c>
      <c r="EC100" s="12">
        <f t="shared" si="216"/>
        <v>0</v>
      </c>
      <c r="ED100" s="12">
        <f t="shared" si="216"/>
        <v>0</v>
      </c>
      <c r="EE100" s="12">
        <f t="shared" si="216"/>
        <v>0</v>
      </c>
      <c r="EF100" s="12">
        <f t="shared" si="216"/>
        <v>0</v>
      </c>
      <c r="EG100" s="12">
        <f t="shared" si="216"/>
        <v>0</v>
      </c>
      <c r="EH100" s="12">
        <f t="shared" si="216"/>
        <v>0</v>
      </c>
      <c r="EI100" s="12">
        <f t="shared" si="216"/>
        <v>0</v>
      </c>
      <c r="EJ100" s="12">
        <f t="shared" si="216"/>
        <v>0</v>
      </c>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row>
    <row r="101" spans="1:345" x14ac:dyDescent="0.35">
      <c r="A101" s="132"/>
      <c r="B101" s="27"/>
      <c r="C101" s="170"/>
      <c r="D101" s="170"/>
      <c r="E101" s="103"/>
      <c r="F101" s="105"/>
      <c r="G101" s="36" t="str">
        <f>IFERROR(VLOOKUP(E101, 'General Project Info'!$C$30:$I$40, 7, FALSE), "")</f>
        <v/>
      </c>
      <c r="H101" s="41">
        <f>IFERROR(X101*VLOOKUP(E101, 'General Project Info'!$R$30:$T$40, 3, FALSE), 0)</f>
        <v>0</v>
      </c>
      <c r="I101" s="42">
        <f>IFERROR(IF($T101="Yes", $X101*VLOOKUP($E101, 'General Project Info'!$R$30:$W$40, 5, FALSE), 0), 0)</f>
        <v>0</v>
      </c>
      <c r="J101" s="42">
        <f>IFERROR(IF($T101="No", $X101*VLOOKUP($E101, 'General Project Info'!$R$30:$W$40, 5, FALSE), 0), 0)</f>
        <v>0</v>
      </c>
      <c r="K101" s="108"/>
      <c r="L101" s="108"/>
      <c r="M101" s="109"/>
      <c r="N101" s="109"/>
      <c r="O101" s="109"/>
      <c r="P101" s="43">
        <f t="shared" si="198"/>
        <v>0</v>
      </c>
      <c r="Q101" s="27"/>
      <c r="R101" s="132"/>
      <c r="T101" s="18" t="e">
        <f>VLOOKUP($E101, 'Unit Conversions Array'!$B$4:$Z$23, 25, FALSE)</f>
        <v>#N/A</v>
      </c>
      <c r="U101">
        <f>VLOOKUP(E101, 'General Project Info'!$R$30:$W$40, 6, FALSE)</f>
        <v>1</v>
      </c>
      <c r="V101" s="18">
        <f t="shared" si="199"/>
        <v>0</v>
      </c>
      <c r="W101" s="18">
        <f>IFERROR(F101*INDEX('Unit Conversions Array'!$E$4:$Y$23, MATCH('Scenarios &amp; Measures'!E101, 'Unit Conversions Array'!$B$4:$B$23, 0), MATCH('Scenarios &amp; Measures'!G101, 'Unit Conversions Array'!$E$3:$Y$3, 0)), 0)</f>
        <v>0</v>
      </c>
      <c r="X101" s="19">
        <f t="shared" si="200"/>
        <v>0</v>
      </c>
      <c r="Y101" s="19">
        <f t="shared" si="201"/>
        <v>0</v>
      </c>
      <c r="Z101" s="19">
        <f t="shared" si="202"/>
        <v>0</v>
      </c>
      <c r="AA101" s="17">
        <f t="shared" si="213"/>
        <v>0</v>
      </c>
      <c r="AB101" s="17">
        <f t="shared" si="203"/>
        <v>20</v>
      </c>
      <c r="AC101" s="17">
        <f t="shared" si="204"/>
        <v>-20</v>
      </c>
      <c r="AD101" s="17">
        <f t="shared" si="205"/>
        <v>0</v>
      </c>
      <c r="AE101" s="18">
        <f t="shared" si="206"/>
        <v>0</v>
      </c>
      <c r="AF101" s="19">
        <f t="shared" si="194"/>
        <v>0</v>
      </c>
      <c r="AG101" s="12">
        <f t="shared" si="195"/>
        <v>0</v>
      </c>
      <c r="AH101" s="17">
        <f t="shared" si="207"/>
        <v>0</v>
      </c>
      <c r="AI101" s="23">
        <f>IF($V$10="RECs", -Y101/VLOOKUP("RECs", 'General Project Info'!$R$30:$W$40, 5, FALSE)*$V$11*IF($X$11=$Z$12, $X$10, (1/($Z$12-$X$11))*(1-($X$11/$Z$12)^$X$10)*$Z$12), 0)</f>
        <v>0</v>
      </c>
      <c r="AJ101" s="17">
        <f t="shared" si="208"/>
        <v>0</v>
      </c>
      <c r="AK101" s="17">
        <f t="shared" si="209"/>
        <v>0</v>
      </c>
      <c r="AL101" s="17">
        <f t="shared" si="210"/>
        <v>0</v>
      </c>
      <c r="AN101" s="12">
        <f t="shared" si="211"/>
        <v>0</v>
      </c>
      <c r="AO101" s="12">
        <f t="shared" si="217"/>
        <v>0</v>
      </c>
      <c r="AP101" s="12">
        <f t="shared" si="217"/>
        <v>0</v>
      </c>
      <c r="AQ101" s="12">
        <f t="shared" si="217"/>
        <v>0</v>
      </c>
      <c r="AR101" s="12">
        <f t="shared" si="217"/>
        <v>0</v>
      </c>
      <c r="AS101" s="12">
        <f t="shared" si="217"/>
        <v>0</v>
      </c>
      <c r="AT101" s="12">
        <f t="shared" si="217"/>
        <v>0</v>
      </c>
      <c r="AU101" s="12">
        <f t="shared" si="217"/>
        <v>0</v>
      </c>
      <c r="AV101" s="12">
        <f t="shared" si="217"/>
        <v>0</v>
      </c>
      <c r="AW101" s="12">
        <f t="shared" si="217"/>
        <v>0</v>
      </c>
      <c r="AX101" s="12">
        <f t="shared" si="217"/>
        <v>0</v>
      </c>
      <c r="AY101" s="12">
        <f t="shared" si="217"/>
        <v>0</v>
      </c>
      <c r="AZ101" s="12">
        <f t="shared" si="217"/>
        <v>0</v>
      </c>
      <c r="BA101" s="12">
        <f t="shared" si="217"/>
        <v>0</v>
      </c>
      <c r="BB101" s="12">
        <f t="shared" si="217"/>
        <v>0</v>
      </c>
      <c r="BC101" s="12">
        <f t="shared" si="217"/>
        <v>0</v>
      </c>
      <c r="BD101" s="12">
        <f t="shared" si="217"/>
        <v>0</v>
      </c>
      <c r="BE101" s="12">
        <f t="shared" si="217"/>
        <v>0</v>
      </c>
      <c r="BF101" s="12">
        <f t="shared" si="217"/>
        <v>0</v>
      </c>
      <c r="BG101" s="12">
        <f t="shared" si="217"/>
        <v>0</v>
      </c>
      <c r="BH101" s="12">
        <f t="shared" si="217"/>
        <v>0</v>
      </c>
      <c r="BI101" s="12">
        <f t="shared" si="217"/>
        <v>0</v>
      </c>
      <c r="BJ101" s="12">
        <f t="shared" si="217"/>
        <v>0</v>
      </c>
      <c r="BK101" s="12">
        <f t="shared" si="217"/>
        <v>0</v>
      </c>
      <c r="BL101" s="12">
        <f t="shared" si="217"/>
        <v>0</v>
      </c>
      <c r="BM101" s="12">
        <f t="shared" si="217"/>
        <v>0</v>
      </c>
      <c r="BN101" s="12">
        <f t="shared" si="217"/>
        <v>0</v>
      </c>
      <c r="BO101" s="12">
        <f t="shared" si="217"/>
        <v>0</v>
      </c>
      <c r="BP101" s="12">
        <f t="shared" si="217"/>
        <v>0</v>
      </c>
      <c r="BQ101" s="12">
        <f t="shared" si="217"/>
        <v>0</v>
      </c>
      <c r="BR101" s="12">
        <f t="shared" si="217"/>
        <v>0</v>
      </c>
      <c r="BS101" s="12">
        <f t="shared" si="217"/>
        <v>0</v>
      </c>
      <c r="BT101" s="12">
        <f t="shared" si="217"/>
        <v>0</v>
      </c>
      <c r="BU101" s="12">
        <f t="shared" si="217"/>
        <v>0</v>
      </c>
      <c r="BV101" s="12">
        <f t="shared" si="217"/>
        <v>0</v>
      </c>
      <c r="BW101" s="12">
        <f t="shared" si="217"/>
        <v>0</v>
      </c>
      <c r="BX101" s="12">
        <f t="shared" si="217"/>
        <v>0</v>
      </c>
      <c r="BY101" s="12">
        <f t="shared" si="217"/>
        <v>0</v>
      </c>
      <c r="BZ101" s="12">
        <f t="shared" si="217"/>
        <v>0</v>
      </c>
      <c r="CA101" s="12">
        <f t="shared" si="217"/>
        <v>0</v>
      </c>
      <c r="CB101" s="12">
        <f t="shared" si="217"/>
        <v>0</v>
      </c>
      <c r="CC101" s="12">
        <f t="shared" si="217"/>
        <v>0</v>
      </c>
      <c r="CD101" s="12">
        <f t="shared" si="217"/>
        <v>0</v>
      </c>
      <c r="CE101" s="12">
        <f t="shared" si="217"/>
        <v>0</v>
      </c>
      <c r="CF101" s="12">
        <f t="shared" si="217"/>
        <v>0</v>
      </c>
      <c r="CG101" s="12">
        <f t="shared" si="217"/>
        <v>0</v>
      </c>
      <c r="CH101" s="12">
        <f t="shared" si="217"/>
        <v>0</v>
      </c>
      <c r="CI101" s="12">
        <f t="shared" si="217"/>
        <v>0</v>
      </c>
      <c r="CJ101" s="12">
        <f t="shared" si="217"/>
        <v>0</v>
      </c>
      <c r="CK101" s="12">
        <f t="shared" si="217"/>
        <v>0</v>
      </c>
      <c r="CL101" s="12">
        <f t="shared" si="217"/>
        <v>0</v>
      </c>
      <c r="CM101" s="12">
        <f t="shared" si="217"/>
        <v>0</v>
      </c>
      <c r="CN101" s="12">
        <f t="shared" si="217"/>
        <v>0</v>
      </c>
      <c r="CO101" s="12">
        <f t="shared" si="217"/>
        <v>0</v>
      </c>
      <c r="CP101" s="12">
        <f t="shared" si="217"/>
        <v>0</v>
      </c>
      <c r="CQ101" s="12">
        <f t="shared" si="217"/>
        <v>0</v>
      </c>
      <c r="CR101" s="12">
        <f t="shared" si="217"/>
        <v>0</v>
      </c>
      <c r="CS101" s="12">
        <f t="shared" si="217"/>
        <v>0</v>
      </c>
      <c r="CT101" s="12">
        <f t="shared" si="217"/>
        <v>0</v>
      </c>
      <c r="CU101" s="12">
        <f t="shared" si="217"/>
        <v>0</v>
      </c>
      <c r="CV101" s="12">
        <f t="shared" si="217"/>
        <v>0</v>
      </c>
      <c r="CW101" s="12">
        <f t="shared" si="217"/>
        <v>0</v>
      </c>
      <c r="CX101" s="12">
        <f t="shared" si="217"/>
        <v>0</v>
      </c>
      <c r="CY101" s="12">
        <f t="shared" si="217"/>
        <v>0</v>
      </c>
      <c r="CZ101" s="12">
        <f t="shared" si="217"/>
        <v>0</v>
      </c>
      <c r="DA101" s="12">
        <f t="shared" si="216"/>
        <v>0</v>
      </c>
      <c r="DB101" s="12">
        <f t="shared" si="216"/>
        <v>0</v>
      </c>
      <c r="DC101" s="12">
        <f t="shared" si="216"/>
        <v>0</v>
      </c>
      <c r="DD101" s="12">
        <f t="shared" si="216"/>
        <v>0</v>
      </c>
      <c r="DE101" s="12">
        <f t="shared" si="216"/>
        <v>0</v>
      </c>
      <c r="DF101" s="12">
        <f t="shared" si="216"/>
        <v>0</v>
      </c>
      <c r="DG101" s="12">
        <f t="shared" si="216"/>
        <v>0</v>
      </c>
      <c r="DH101" s="12">
        <f t="shared" si="216"/>
        <v>0</v>
      </c>
      <c r="DI101" s="12">
        <f t="shared" si="216"/>
        <v>0</v>
      </c>
      <c r="DJ101" s="12">
        <f t="shared" si="216"/>
        <v>0</v>
      </c>
      <c r="DK101" s="12">
        <f t="shared" si="216"/>
        <v>0</v>
      </c>
      <c r="DL101" s="12">
        <f t="shared" si="216"/>
        <v>0</v>
      </c>
      <c r="DM101" s="12">
        <f t="shared" si="216"/>
        <v>0</v>
      </c>
      <c r="DN101" s="12">
        <f t="shared" si="216"/>
        <v>0</v>
      </c>
      <c r="DO101" s="12">
        <f t="shared" si="216"/>
        <v>0</v>
      </c>
      <c r="DP101" s="12">
        <f t="shared" si="216"/>
        <v>0</v>
      </c>
      <c r="DQ101" s="12">
        <f t="shared" si="216"/>
        <v>0</v>
      </c>
      <c r="DR101" s="12">
        <f t="shared" si="216"/>
        <v>0</v>
      </c>
      <c r="DS101" s="12">
        <f t="shared" si="216"/>
        <v>0</v>
      </c>
      <c r="DT101" s="12">
        <f t="shared" si="216"/>
        <v>0</v>
      </c>
      <c r="DU101" s="12">
        <f t="shared" si="216"/>
        <v>0</v>
      </c>
      <c r="DV101" s="12">
        <f t="shared" si="216"/>
        <v>0</v>
      </c>
      <c r="DW101" s="12">
        <f t="shared" si="216"/>
        <v>0</v>
      </c>
      <c r="DX101" s="12">
        <f t="shared" si="216"/>
        <v>0</v>
      </c>
      <c r="DY101" s="12">
        <f t="shared" si="216"/>
        <v>0</v>
      </c>
      <c r="DZ101" s="12">
        <f t="shared" si="216"/>
        <v>0</v>
      </c>
      <c r="EA101" s="12">
        <f t="shared" si="216"/>
        <v>0</v>
      </c>
      <c r="EB101" s="12">
        <f t="shared" si="216"/>
        <v>0</v>
      </c>
      <c r="EC101" s="12">
        <f t="shared" si="216"/>
        <v>0</v>
      </c>
      <c r="ED101" s="12">
        <f t="shared" si="216"/>
        <v>0</v>
      </c>
      <c r="EE101" s="12">
        <f t="shared" si="216"/>
        <v>0</v>
      </c>
      <c r="EF101" s="12">
        <f t="shared" si="216"/>
        <v>0</v>
      </c>
      <c r="EG101" s="12">
        <f t="shared" si="216"/>
        <v>0</v>
      </c>
      <c r="EH101" s="12">
        <f t="shared" si="216"/>
        <v>0</v>
      </c>
      <c r="EI101" s="12">
        <f t="shared" si="216"/>
        <v>0</v>
      </c>
      <c r="EJ101" s="12">
        <f t="shared" si="216"/>
        <v>0</v>
      </c>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row>
    <row r="102" spans="1:345" x14ac:dyDescent="0.35">
      <c r="A102" s="132"/>
      <c r="B102" s="27"/>
      <c r="C102" s="170"/>
      <c r="D102" s="170"/>
      <c r="E102" s="103"/>
      <c r="F102" s="105"/>
      <c r="G102" s="36" t="str">
        <f>IFERROR(VLOOKUP(E102, 'General Project Info'!$C$30:$I$40, 7, FALSE), "")</f>
        <v/>
      </c>
      <c r="H102" s="41">
        <f>IFERROR(X102*VLOOKUP(E102, 'General Project Info'!$R$30:$T$40, 3, FALSE), 0)</f>
        <v>0</v>
      </c>
      <c r="I102" s="42">
        <f>IFERROR(IF($T102="Yes", $X102*VLOOKUP($E102, 'General Project Info'!$R$30:$W$40, 5, FALSE), 0), 0)</f>
        <v>0</v>
      </c>
      <c r="J102" s="42">
        <f>IFERROR(IF($T102="No", $X102*VLOOKUP($E102, 'General Project Info'!$R$30:$W$40, 5, FALSE), 0), 0)</f>
        <v>0</v>
      </c>
      <c r="K102" s="108"/>
      <c r="L102" s="108"/>
      <c r="M102" s="109"/>
      <c r="N102" s="109"/>
      <c r="O102" s="109"/>
      <c r="P102" s="43">
        <f t="shared" si="198"/>
        <v>0</v>
      </c>
      <c r="Q102" s="27"/>
      <c r="R102" s="132"/>
      <c r="T102" s="18" t="e">
        <f>VLOOKUP($E102, 'Unit Conversions Array'!$B$4:$Z$23, 25, FALSE)</f>
        <v>#N/A</v>
      </c>
      <c r="U102">
        <f>VLOOKUP(E102, 'General Project Info'!$R$30:$W$40, 6, FALSE)</f>
        <v>1</v>
      </c>
      <c r="V102" s="18">
        <f t="shared" si="199"/>
        <v>0</v>
      </c>
      <c r="W102" s="18">
        <f>IFERROR(F102*INDEX('Unit Conversions Array'!$E$4:$Y$23, MATCH('Scenarios &amp; Measures'!E102, 'Unit Conversions Array'!$B$4:$B$23, 0), MATCH('Scenarios &amp; Measures'!G102, 'Unit Conversions Array'!$E$3:$Y$3, 0)), 0)</f>
        <v>0</v>
      </c>
      <c r="X102" s="19">
        <f t="shared" si="200"/>
        <v>0</v>
      </c>
      <c r="Y102" s="19">
        <f t="shared" si="201"/>
        <v>0</v>
      </c>
      <c r="Z102" s="19">
        <f t="shared" si="202"/>
        <v>0</v>
      </c>
      <c r="AA102" s="17">
        <f t="shared" si="213"/>
        <v>0</v>
      </c>
      <c r="AB102" s="17">
        <f t="shared" si="203"/>
        <v>20</v>
      </c>
      <c r="AC102" s="17">
        <f t="shared" si="204"/>
        <v>-20</v>
      </c>
      <c r="AD102" s="17">
        <f t="shared" si="205"/>
        <v>0</v>
      </c>
      <c r="AE102" s="18">
        <f t="shared" si="206"/>
        <v>0</v>
      </c>
      <c r="AF102" s="19">
        <f t="shared" si="194"/>
        <v>0</v>
      </c>
      <c r="AG102" s="12">
        <f t="shared" si="195"/>
        <v>0</v>
      </c>
      <c r="AH102" s="17">
        <f t="shared" si="207"/>
        <v>0</v>
      </c>
      <c r="AI102" s="23">
        <f>IF($V$10="RECs", -Y102/VLOOKUP("RECs", 'General Project Info'!$R$30:$W$40, 5, FALSE)*$V$11*IF($X$11=$Z$12, $X$10, (1/($Z$12-$X$11))*(1-($X$11/$Z$12)^$X$10)*$Z$12), 0)</f>
        <v>0</v>
      </c>
      <c r="AJ102" s="17">
        <f t="shared" si="208"/>
        <v>0</v>
      </c>
      <c r="AK102" s="17">
        <f t="shared" si="209"/>
        <v>0</v>
      </c>
      <c r="AL102" s="17">
        <f t="shared" si="210"/>
        <v>0</v>
      </c>
      <c r="AN102" s="12">
        <f t="shared" si="211"/>
        <v>0</v>
      </c>
      <c r="AO102" s="12">
        <f t="shared" si="217"/>
        <v>0</v>
      </c>
      <c r="AP102" s="12">
        <f t="shared" si="217"/>
        <v>0</v>
      </c>
      <c r="AQ102" s="12">
        <f t="shared" si="217"/>
        <v>0</v>
      </c>
      <c r="AR102" s="12">
        <f t="shared" si="217"/>
        <v>0</v>
      </c>
      <c r="AS102" s="12">
        <f t="shared" si="217"/>
        <v>0</v>
      </c>
      <c r="AT102" s="12">
        <f t="shared" si="217"/>
        <v>0</v>
      </c>
      <c r="AU102" s="12">
        <f t="shared" si="217"/>
        <v>0</v>
      </c>
      <c r="AV102" s="12">
        <f t="shared" si="217"/>
        <v>0</v>
      </c>
      <c r="AW102" s="12">
        <f t="shared" si="217"/>
        <v>0</v>
      </c>
      <c r="AX102" s="12">
        <f t="shared" si="217"/>
        <v>0</v>
      </c>
      <c r="AY102" s="12">
        <f t="shared" si="217"/>
        <v>0</v>
      </c>
      <c r="AZ102" s="12">
        <f t="shared" si="217"/>
        <v>0</v>
      </c>
      <c r="BA102" s="12">
        <f t="shared" si="217"/>
        <v>0</v>
      </c>
      <c r="BB102" s="12">
        <f t="shared" si="217"/>
        <v>0</v>
      </c>
      <c r="BC102" s="12">
        <f t="shared" si="217"/>
        <v>0</v>
      </c>
      <c r="BD102" s="12">
        <f t="shared" si="217"/>
        <v>0</v>
      </c>
      <c r="BE102" s="12">
        <f t="shared" si="217"/>
        <v>0</v>
      </c>
      <c r="BF102" s="12">
        <f t="shared" si="217"/>
        <v>0</v>
      </c>
      <c r="BG102" s="12">
        <f t="shared" si="217"/>
        <v>0</v>
      </c>
      <c r="BH102" s="12">
        <f t="shared" si="217"/>
        <v>0</v>
      </c>
      <c r="BI102" s="12">
        <f t="shared" si="217"/>
        <v>0</v>
      </c>
      <c r="BJ102" s="12">
        <f t="shared" si="217"/>
        <v>0</v>
      </c>
      <c r="BK102" s="12">
        <f t="shared" si="217"/>
        <v>0</v>
      </c>
      <c r="BL102" s="12">
        <f t="shared" si="217"/>
        <v>0</v>
      </c>
      <c r="BM102" s="12">
        <f t="shared" si="217"/>
        <v>0</v>
      </c>
      <c r="BN102" s="12">
        <f t="shared" si="217"/>
        <v>0</v>
      </c>
      <c r="BO102" s="12">
        <f t="shared" si="217"/>
        <v>0</v>
      </c>
      <c r="BP102" s="12">
        <f t="shared" si="217"/>
        <v>0</v>
      </c>
      <c r="BQ102" s="12">
        <f t="shared" si="217"/>
        <v>0</v>
      </c>
      <c r="BR102" s="12">
        <f t="shared" si="217"/>
        <v>0</v>
      </c>
      <c r="BS102" s="12">
        <f t="shared" si="217"/>
        <v>0</v>
      </c>
      <c r="BT102" s="12">
        <f t="shared" si="217"/>
        <v>0</v>
      </c>
      <c r="BU102" s="12">
        <f t="shared" si="217"/>
        <v>0</v>
      </c>
      <c r="BV102" s="12">
        <f t="shared" si="217"/>
        <v>0</v>
      </c>
      <c r="BW102" s="12">
        <f t="shared" si="217"/>
        <v>0</v>
      </c>
      <c r="BX102" s="12">
        <f t="shared" si="217"/>
        <v>0</v>
      </c>
      <c r="BY102" s="12">
        <f t="shared" si="217"/>
        <v>0</v>
      </c>
      <c r="BZ102" s="12">
        <f t="shared" si="217"/>
        <v>0</v>
      </c>
      <c r="CA102" s="12">
        <f t="shared" si="217"/>
        <v>0</v>
      </c>
      <c r="CB102" s="12">
        <f t="shared" si="217"/>
        <v>0</v>
      </c>
      <c r="CC102" s="12">
        <f t="shared" si="217"/>
        <v>0</v>
      </c>
      <c r="CD102" s="12">
        <f t="shared" si="217"/>
        <v>0</v>
      </c>
      <c r="CE102" s="12">
        <f t="shared" si="217"/>
        <v>0</v>
      </c>
      <c r="CF102" s="12">
        <f t="shared" si="217"/>
        <v>0</v>
      </c>
      <c r="CG102" s="12">
        <f t="shared" si="217"/>
        <v>0</v>
      </c>
      <c r="CH102" s="12">
        <f t="shared" si="217"/>
        <v>0</v>
      </c>
      <c r="CI102" s="12">
        <f t="shared" si="217"/>
        <v>0</v>
      </c>
      <c r="CJ102" s="12">
        <f t="shared" si="217"/>
        <v>0</v>
      </c>
      <c r="CK102" s="12">
        <f t="shared" si="217"/>
        <v>0</v>
      </c>
      <c r="CL102" s="12">
        <f t="shared" si="217"/>
        <v>0</v>
      </c>
      <c r="CM102" s="12">
        <f t="shared" si="217"/>
        <v>0</v>
      </c>
      <c r="CN102" s="12">
        <f t="shared" si="217"/>
        <v>0</v>
      </c>
      <c r="CO102" s="12">
        <f t="shared" si="217"/>
        <v>0</v>
      </c>
      <c r="CP102" s="12">
        <f t="shared" si="217"/>
        <v>0</v>
      </c>
      <c r="CQ102" s="12">
        <f t="shared" si="217"/>
        <v>0</v>
      </c>
      <c r="CR102" s="12">
        <f t="shared" si="217"/>
        <v>0</v>
      </c>
      <c r="CS102" s="12">
        <f t="shared" si="217"/>
        <v>0</v>
      </c>
      <c r="CT102" s="12">
        <f t="shared" si="217"/>
        <v>0</v>
      </c>
      <c r="CU102" s="12">
        <f t="shared" si="217"/>
        <v>0</v>
      </c>
      <c r="CV102" s="12">
        <f t="shared" si="217"/>
        <v>0</v>
      </c>
      <c r="CW102" s="12">
        <f t="shared" si="217"/>
        <v>0</v>
      </c>
      <c r="CX102" s="12">
        <f t="shared" si="217"/>
        <v>0</v>
      </c>
      <c r="CY102" s="12">
        <f t="shared" si="217"/>
        <v>0</v>
      </c>
      <c r="CZ102" s="12">
        <f t="shared" ref="CZ102:EJ102" si="218">IFERROR(IF(CZ$38&gt;=$X$10, 0, IF(MOD($AD102+CZ$38, $K102)=0, (($M102-$N102)*$Z$11^CZ$38), 0)), 0)</f>
        <v>0</v>
      </c>
      <c r="DA102" s="12">
        <f t="shared" si="218"/>
        <v>0</v>
      </c>
      <c r="DB102" s="12">
        <f t="shared" si="218"/>
        <v>0</v>
      </c>
      <c r="DC102" s="12">
        <f t="shared" si="218"/>
        <v>0</v>
      </c>
      <c r="DD102" s="12">
        <f t="shared" si="218"/>
        <v>0</v>
      </c>
      <c r="DE102" s="12">
        <f t="shared" si="218"/>
        <v>0</v>
      </c>
      <c r="DF102" s="12">
        <f t="shared" si="218"/>
        <v>0</v>
      </c>
      <c r="DG102" s="12">
        <f t="shared" si="218"/>
        <v>0</v>
      </c>
      <c r="DH102" s="12">
        <f t="shared" si="218"/>
        <v>0</v>
      </c>
      <c r="DI102" s="12">
        <f t="shared" si="218"/>
        <v>0</v>
      </c>
      <c r="DJ102" s="12">
        <f t="shared" si="218"/>
        <v>0</v>
      </c>
      <c r="DK102" s="12">
        <f t="shared" si="218"/>
        <v>0</v>
      </c>
      <c r="DL102" s="12">
        <f t="shared" si="218"/>
        <v>0</v>
      </c>
      <c r="DM102" s="12">
        <f t="shared" si="218"/>
        <v>0</v>
      </c>
      <c r="DN102" s="12">
        <f t="shared" si="218"/>
        <v>0</v>
      </c>
      <c r="DO102" s="12">
        <f t="shared" si="218"/>
        <v>0</v>
      </c>
      <c r="DP102" s="12">
        <f t="shared" si="218"/>
        <v>0</v>
      </c>
      <c r="DQ102" s="12">
        <f t="shared" si="218"/>
        <v>0</v>
      </c>
      <c r="DR102" s="12">
        <f t="shared" si="218"/>
        <v>0</v>
      </c>
      <c r="DS102" s="12">
        <f t="shared" si="218"/>
        <v>0</v>
      </c>
      <c r="DT102" s="12">
        <f t="shared" si="218"/>
        <v>0</v>
      </c>
      <c r="DU102" s="12">
        <f t="shared" si="218"/>
        <v>0</v>
      </c>
      <c r="DV102" s="12">
        <f t="shared" si="218"/>
        <v>0</v>
      </c>
      <c r="DW102" s="12">
        <f t="shared" si="218"/>
        <v>0</v>
      </c>
      <c r="DX102" s="12">
        <f t="shared" si="218"/>
        <v>0</v>
      </c>
      <c r="DY102" s="12">
        <f t="shared" si="218"/>
        <v>0</v>
      </c>
      <c r="DZ102" s="12">
        <f t="shared" si="218"/>
        <v>0</v>
      </c>
      <c r="EA102" s="12">
        <f t="shared" si="218"/>
        <v>0</v>
      </c>
      <c r="EB102" s="12">
        <f t="shared" si="218"/>
        <v>0</v>
      </c>
      <c r="EC102" s="12">
        <f t="shared" si="218"/>
        <v>0</v>
      </c>
      <c r="ED102" s="12">
        <f t="shared" si="218"/>
        <v>0</v>
      </c>
      <c r="EE102" s="12">
        <f t="shared" si="218"/>
        <v>0</v>
      </c>
      <c r="EF102" s="12">
        <f t="shared" si="218"/>
        <v>0</v>
      </c>
      <c r="EG102" s="12">
        <f t="shared" si="218"/>
        <v>0</v>
      </c>
      <c r="EH102" s="12">
        <f t="shared" si="218"/>
        <v>0</v>
      </c>
      <c r="EI102" s="12">
        <f t="shared" si="218"/>
        <v>0</v>
      </c>
      <c r="EJ102" s="12">
        <f t="shared" si="218"/>
        <v>0</v>
      </c>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row>
    <row r="103" spans="1:345" x14ac:dyDescent="0.35">
      <c r="A103" s="132"/>
      <c r="B103" s="27"/>
      <c r="C103" s="38"/>
      <c r="D103" s="27"/>
      <c r="E103" s="38"/>
      <c r="F103" s="38"/>
      <c r="G103" s="38"/>
      <c r="H103" s="38"/>
      <c r="I103" s="38"/>
      <c r="J103" s="38"/>
      <c r="K103" s="38"/>
      <c r="L103" s="38"/>
      <c r="M103" s="38"/>
      <c r="N103" s="38"/>
      <c r="O103" s="38"/>
      <c r="P103" s="38"/>
      <c r="Q103" s="27"/>
      <c r="R103" s="132"/>
      <c r="AA103" t="s">
        <v>280</v>
      </c>
      <c r="AE103" t="s">
        <v>286</v>
      </c>
      <c r="AF103" t="s">
        <v>287</v>
      </c>
      <c r="AG103" t="s">
        <v>288</v>
      </c>
      <c r="AH103" t="s">
        <v>289</v>
      </c>
      <c r="AI103" t="s">
        <v>301</v>
      </c>
      <c r="IJ103" s="12"/>
      <c r="IK103" s="12"/>
      <c r="IL103" s="12"/>
      <c r="IM103" s="12"/>
      <c r="IN103" s="12"/>
      <c r="IO103" s="12"/>
    </row>
    <row r="104" spans="1:345" x14ac:dyDescent="0.35">
      <c r="A104" s="132"/>
      <c r="B104" s="27"/>
      <c r="C104" s="38"/>
      <c r="D104" s="27"/>
      <c r="E104" s="38" t="s">
        <v>34</v>
      </c>
      <c r="F104" s="44">
        <f>SUM(X89:X102)</f>
        <v>0</v>
      </c>
      <c r="G104" s="45" t="s">
        <v>35</v>
      </c>
      <c r="H104" s="46">
        <f>SUM(H89:H102)</f>
        <v>0</v>
      </c>
      <c r="I104" s="44">
        <f>SUM(I89:I102)</f>
        <v>0</v>
      </c>
      <c r="J104" s="44">
        <f>SUM(J89:J102)</f>
        <v>0</v>
      </c>
      <c r="K104" s="45" t="s">
        <v>13</v>
      </c>
      <c r="L104" s="45" t="s">
        <v>13</v>
      </c>
      <c r="M104" s="47">
        <f>SUM(M89:M102)</f>
        <v>0</v>
      </c>
      <c r="N104" s="47">
        <f>SUM(N89:N102)</f>
        <v>0</v>
      </c>
      <c r="O104" s="47">
        <f>SUM(O89:O102)</f>
        <v>0</v>
      </c>
      <c r="P104" s="47">
        <f>SUM(P89:P102)</f>
        <v>0</v>
      </c>
      <c r="Q104" s="27"/>
      <c r="R104" s="132"/>
      <c r="V104" s="12"/>
      <c r="W104" t="s">
        <v>280</v>
      </c>
      <c r="X104" t="s">
        <v>283</v>
      </c>
      <c r="Y104" s="12" t="s">
        <v>284</v>
      </c>
      <c r="AA104" s="12" t="s">
        <v>281</v>
      </c>
      <c r="AB104" s="12"/>
      <c r="AC104" s="12"/>
      <c r="AD104" s="12"/>
      <c r="AE104">
        <f>IF($V$10="Carbon Offset", $I105*$V$12, 0)</f>
        <v>0</v>
      </c>
      <c r="AF104">
        <f>IF($X$11=$Z$12, $AE104*$X$10, ($AE104/($Z$12-$X$11))*(1-($X$11/$Z$12)^$X$10)*$Z$12)</f>
        <v>0</v>
      </c>
      <c r="AG104">
        <f>IF($V$10="RECs", (-$I105/(VLOOKUP("RECs", 'General Project Info'!$R$30:$W$40, 5, FALSE)))*$V$11, 0)</f>
        <v>0</v>
      </c>
      <c r="AH104">
        <f>IF($X$11=$Z$12, $AG104*$X$10, ($AG104/($Z$12-$X$11))*(1-($X$11/$Z$12)^$X$10)*$Z$12)</f>
        <v>0</v>
      </c>
      <c r="AL104" t="s">
        <v>292</v>
      </c>
      <c r="AM104" t="s">
        <v>293</v>
      </c>
      <c r="AN104" s="12" t="e">
        <f>IF(AN88&gt;=$X$10, 0, -SUM(AN89:AN102)-($X107*$AE87^AN88)-($V107+$V108)*AN$11/1000-SUM($AE104:$AE107)*$X$12^AN88-($AG104+$AG106)*$X$11^AN88-($X108*$Z$11^AN88)-IF($X$10-1=AN88, $P$29, 0))</f>
        <v>#DIV/0!</v>
      </c>
      <c r="AO104" s="12" t="e">
        <f t="shared" ref="AO104:CZ104" si="219">IF(AO88&gt;=$X$10, 0, -SUM(AO89:AO102)-($X107*$AE87^AO88)-($V107+$V108)*AO$11/1000-SUM($AE104:$AE107)*$X$12^AO88-($AG104+$AG106)*$X$11^AO88-($X108*$Z$11^AO88)-IF($X$10-1=AO88, $P$29, 0))</f>
        <v>#DIV/0!</v>
      </c>
      <c r="AP104" s="12" t="e">
        <f t="shared" si="219"/>
        <v>#DIV/0!</v>
      </c>
      <c r="AQ104" s="12" t="e">
        <f t="shared" si="219"/>
        <v>#DIV/0!</v>
      </c>
      <c r="AR104" s="12" t="e">
        <f t="shared" si="219"/>
        <v>#DIV/0!</v>
      </c>
      <c r="AS104" s="12" t="e">
        <f t="shared" si="219"/>
        <v>#DIV/0!</v>
      </c>
      <c r="AT104" s="12" t="e">
        <f t="shared" si="219"/>
        <v>#DIV/0!</v>
      </c>
      <c r="AU104" s="12" t="e">
        <f t="shared" si="219"/>
        <v>#DIV/0!</v>
      </c>
      <c r="AV104" s="12" t="e">
        <f t="shared" si="219"/>
        <v>#DIV/0!</v>
      </c>
      <c r="AW104" s="12" t="e">
        <f t="shared" si="219"/>
        <v>#DIV/0!</v>
      </c>
      <c r="AX104" s="12" t="e">
        <f t="shared" si="219"/>
        <v>#DIV/0!</v>
      </c>
      <c r="AY104" s="12" t="e">
        <f t="shared" si="219"/>
        <v>#DIV/0!</v>
      </c>
      <c r="AZ104" s="12" t="e">
        <f t="shared" si="219"/>
        <v>#DIV/0!</v>
      </c>
      <c r="BA104" s="12" t="e">
        <f t="shared" si="219"/>
        <v>#DIV/0!</v>
      </c>
      <c r="BB104" s="12" t="e">
        <f t="shared" si="219"/>
        <v>#DIV/0!</v>
      </c>
      <c r="BC104" s="12" t="e">
        <f t="shared" si="219"/>
        <v>#DIV/0!</v>
      </c>
      <c r="BD104" s="12" t="e">
        <f t="shared" si="219"/>
        <v>#DIV/0!</v>
      </c>
      <c r="BE104" s="12" t="e">
        <f t="shared" si="219"/>
        <v>#DIV/0!</v>
      </c>
      <c r="BF104" s="12" t="e">
        <f t="shared" si="219"/>
        <v>#DIV/0!</v>
      </c>
      <c r="BG104" s="12" t="e">
        <f t="shared" si="219"/>
        <v>#DIV/0!</v>
      </c>
      <c r="BH104" s="12">
        <f t="shared" si="219"/>
        <v>0</v>
      </c>
      <c r="BI104" s="12">
        <f t="shared" si="219"/>
        <v>0</v>
      </c>
      <c r="BJ104" s="12">
        <f t="shared" si="219"/>
        <v>0</v>
      </c>
      <c r="BK104" s="12">
        <f t="shared" si="219"/>
        <v>0</v>
      </c>
      <c r="BL104" s="12">
        <f t="shared" si="219"/>
        <v>0</v>
      </c>
      <c r="BM104" s="12">
        <f t="shared" si="219"/>
        <v>0</v>
      </c>
      <c r="BN104" s="12">
        <f t="shared" si="219"/>
        <v>0</v>
      </c>
      <c r="BO104" s="12">
        <f t="shared" si="219"/>
        <v>0</v>
      </c>
      <c r="BP104" s="12">
        <f t="shared" si="219"/>
        <v>0</v>
      </c>
      <c r="BQ104" s="12">
        <f t="shared" si="219"/>
        <v>0</v>
      </c>
      <c r="BR104" s="12">
        <f t="shared" si="219"/>
        <v>0</v>
      </c>
      <c r="BS104" s="12">
        <f t="shared" si="219"/>
        <v>0</v>
      </c>
      <c r="BT104" s="12">
        <f t="shared" si="219"/>
        <v>0</v>
      </c>
      <c r="BU104" s="12">
        <f t="shared" si="219"/>
        <v>0</v>
      </c>
      <c r="BV104" s="12">
        <f t="shared" si="219"/>
        <v>0</v>
      </c>
      <c r="BW104" s="12">
        <f t="shared" si="219"/>
        <v>0</v>
      </c>
      <c r="BX104" s="12">
        <f t="shared" si="219"/>
        <v>0</v>
      </c>
      <c r="BY104" s="12">
        <f t="shared" si="219"/>
        <v>0</v>
      </c>
      <c r="BZ104" s="12">
        <f t="shared" si="219"/>
        <v>0</v>
      </c>
      <c r="CA104" s="12">
        <f t="shared" si="219"/>
        <v>0</v>
      </c>
      <c r="CB104" s="12">
        <f t="shared" si="219"/>
        <v>0</v>
      </c>
      <c r="CC104" s="12">
        <f t="shared" si="219"/>
        <v>0</v>
      </c>
      <c r="CD104" s="12">
        <f t="shared" si="219"/>
        <v>0</v>
      </c>
      <c r="CE104" s="12">
        <f t="shared" si="219"/>
        <v>0</v>
      </c>
      <c r="CF104" s="12">
        <f t="shared" si="219"/>
        <v>0</v>
      </c>
      <c r="CG104" s="12">
        <f t="shared" si="219"/>
        <v>0</v>
      </c>
      <c r="CH104" s="12">
        <f t="shared" si="219"/>
        <v>0</v>
      </c>
      <c r="CI104" s="12">
        <f t="shared" si="219"/>
        <v>0</v>
      </c>
      <c r="CJ104" s="12">
        <f t="shared" si="219"/>
        <v>0</v>
      </c>
      <c r="CK104" s="12">
        <f t="shared" si="219"/>
        <v>0</v>
      </c>
      <c r="CL104" s="12">
        <f t="shared" si="219"/>
        <v>0</v>
      </c>
      <c r="CM104" s="12">
        <f t="shared" si="219"/>
        <v>0</v>
      </c>
      <c r="CN104" s="12">
        <f t="shared" si="219"/>
        <v>0</v>
      </c>
      <c r="CO104" s="12">
        <f t="shared" si="219"/>
        <v>0</v>
      </c>
      <c r="CP104" s="12">
        <f t="shared" si="219"/>
        <v>0</v>
      </c>
      <c r="CQ104" s="12">
        <f t="shared" si="219"/>
        <v>0</v>
      </c>
      <c r="CR104" s="12">
        <f t="shared" si="219"/>
        <v>0</v>
      </c>
      <c r="CS104" s="12">
        <f t="shared" si="219"/>
        <v>0</v>
      </c>
      <c r="CT104" s="12">
        <f t="shared" si="219"/>
        <v>0</v>
      </c>
      <c r="CU104" s="12">
        <f t="shared" si="219"/>
        <v>0</v>
      </c>
      <c r="CV104" s="12">
        <f t="shared" si="219"/>
        <v>0</v>
      </c>
      <c r="CW104" s="12">
        <f t="shared" si="219"/>
        <v>0</v>
      </c>
      <c r="CX104" s="12">
        <f t="shared" si="219"/>
        <v>0</v>
      </c>
      <c r="CY104" s="12">
        <f t="shared" si="219"/>
        <v>0</v>
      </c>
      <c r="CZ104" s="12">
        <f t="shared" si="219"/>
        <v>0</v>
      </c>
      <c r="DA104" s="12">
        <f t="shared" ref="DA104:EJ104" si="220">IF(DA88&gt;=$X$10, 0, -SUM(DA89:DA102)-($X107*$AE87^DA88)-($V107+$V108)*DA$11/1000-SUM($AE104:$AE107)*$X$12^DA88-($AG104+$AG106)*$X$11^DA88-($X108*$Z$11^DA88)-IF($X$10-1=DA88, $P$29, 0))</f>
        <v>0</v>
      </c>
      <c r="DB104" s="12">
        <f t="shared" si="220"/>
        <v>0</v>
      </c>
      <c r="DC104" s="12">
        <f t="shared" si="220"/>
        <v>0</v>
      </c>
      <c r="DD104" s="12">
        <f t="shared" si="220"/>
        <v>0</v>
      </c>
      <c r="DE104" s="12">
        <f t="shared" si="220"/>
        <v>0</v>
      </c>
      <c r="DF104" s="12">
        <f t="shared" si="220"/>
        <v>0</v>
      </c>
      <c r="DG104" s="12">
        <f t="shared" si="220"/>
        <v>0</v>
      </c>
      <c r="DH104" s="12">
        <f t="shared" si="220"/>
        <v>0</v>
      </c>
      <c r="DI104" s="12">
        <f t="shared" si="220"/>
        <v>0</v>
      </c>
      <c r="DJ104" s="12">
        <f t="shared" si="220"/>
        <v>0</v>
      </c>
      <c r="DK104" s="12">
        <f t="shared" si="220"/>
        <v>0</v>
      </c>
      <c r="DL104" s="12">
        <f t="shared" si="220"/>
        <v>0</v>
      </c>
      <c r="DM104" s="12">
        <f t="shared" si="220"/>
        <v>0</v>
      </c>
      <c r="DN104" s="12">
        <f t="shared" si="220"/>
        <v>0</v>
      </c>
      <c r="DO104" s="12">
        <f t="shared" si="220"/>
        <v>0</v>
      </c>
      <c r="DP104" s="12">
        <f t="shared" si="220"/>
        <v>0</v>
      </c>
      <c r="DQ104" s="12">
        <f t="shared" si="220"/>
        <v>0</v>
      </c>
      <c r="DR104" s="12">
        <f t="shared" si="220"/>
        <v>0</v>
      </c>
      <c r="DS104" s="12">
        <f t="shared" si="220"/>
        <v>0</v>
      </c>
      <c r="DT104" s="12">
        <f t="shared" si="220"/>
        <v>0</v>
      </c>
      <c r="DU104" s="12">
        <f t="shared" si="220"/>
        <v>0</v>
      </c>
      <c r="DV104" s="12">
        <f t="shared" si="220"/>
        <v>0</v>
      </c>
      <c r="DW104" s="12">
        <f t="shared" si="220"/>
        <v>0</v>
      </c>
      <c r="DX104" s="12">
        <f t="shared" si="220"/>
        <v>0</v>
      </c>
      <c r="DY104" s="12">
        <f t="shared" si="220"/>
        <v>0</v>
      </c>
      <c r="DZ104" s="12">
        <f t="shared" si="220"/>
        <v>0</v>
      </c>
      <c r="EA104" s="12">
        <f t="shared" si="220"/>
        <v>0</v>
      </c>
      <c r="EB104" s="12">
        <f t="shared" si="220"/>
        <v>0</v>
      </c>
      <c r="EC104" s="12">
        <f t="shared" si="220"/>
        <v>0</v>
      </c>
      <c r="ED104" s="12">
        <f t="shared" si="220"/>
        <v>0</v>
      </c>
      <c r="EE104" s="12">
        <f t="shared" si="220"/>
        <v>0</v>
      </c>
      <c r="EF104" s="12">
        <f t="shared" si="220"/>
        <v>0</v>
      </c>
      <c r="EG104" s="12">
        <f t="shared" si="220"/>
        <v>0</v>
      </c>
      <c r="EH104" s="12">
        <f t="shared" si="220"/>
        <v>0</v>
      </c>
      <c r="EI104" s="12">
        <f t="shared" si="220"/>
        <v>0</v>
      </c>
      <c r="EJ104" s="12">
        <f t="shared" si="220"/>
        <v>0</v>
      </c>
      <c r="IJ104" s="12"/>
      <c r="IK104" s="12"/>
      <c r="IL104" s="12"/>
      <c r="IM104" s="12"/>
      <c r="IN104" s="12"/>
      <c r="IO104" s="12"/>
    </row>
    <row r="105" spans="1:345" x14ac:dyDescent="0.35">
      <c r="A105" s="132"/>
      <c r="B105" s="27"/>
      <c r="C105" s="38"/>
      <c r="D105" s="27"/>
      <c r="E105" s="38" t="s">
        <v>463</v>
      </c>
      <c r="F105" s="105"/>
      <c r="G105" s="37" t="s">
        <v>35</v>
      </c>
      <c r="H105" s="110"/>
      <c r="I105" s="105"/>
      <c r="J105" s="105"/>
      <c r="K105" s="37" t="s">
        <v>13</v>
      </c>
      <c r="L105" s="37" t="s">
        <v>13</v>
      </c>
      <c r="M105" s="37" t="s">
        <v>13</v>
      </c>
      <c r="N105" s="37" t="s">
        <v>13</v>
      </c>
      <c r="O105" s="111"/>
      <c r="P105" s="37" t="s">
        <v>13</v>
      </c>
      <c r="Q105" s="27"/>
      <c r="R105" s="132"/>
      <c r="T105" t="s">
        <v>260</v>
      </c>
      <c r="U105" s="10">
        <f>IF(H105&gt;0, X105, SUM(V89:V102))+IF(I105&gt;0, SUM(AF89:AF102)/I104*I105+AF104+AH104, SUM(AF89:AF102)+SUM(AI89:AJ102))+IF(J105&gt;0, SUM(AG89:AG102)/J104*J105+AF105, SUM(AG89:AG102)+SUM(AK89:AK102))+SUM(AH89:AH102)+IF(O105&gt;0, Y105, SUM(AE89:AE102))-P104</f>
        <v>0</v>
      </c>
      <c r="W105" t="s">
        <v>285</v>
      </c>
      <c r="X105" s="12" t="e">
        <f>IF(AE87=$Z$12, H105*$X$10, (H105/($Z$12-AE87))*(1-(AE87/$Z$12)^$X$10)*$Z$12)</f>
        <v>#DIV/0!</v>
      </c>
      <c r="Y105">
        <f>IF($Z$11=$Z$12, $O$30*$X$10, ($O$30/($Z$12-$Z$11))*(1-($Z$11/$Z$12)^$X$10)*$Z$12)</f>
        <v>0</v>
      </c>
      <c r="AA105" t="s">
        <v>282</v>
      </c>
      <c r="AE105">
        <f>$J105*$V$12</f>
        <v>0</v>
      </c>
      <c r="AF105">
        <f>IF($X$11=$Z$12, $AE105*$X$10, ($AE105/($Z$12-$X$11))*(1-($X$11/$Z$12)^$X$10)*$Z$12)</f>
        <v>0</v>
      </c>
      <c r="AL105" s="12"/>
      <c r="AM105" t="s">
        <v>294</v>
      </c>
      <c r="AN105" s="12">
        <f>IF(AN88&gt;=$X$10, 0, SUM(AN$14:AN$27)+($X$32*$AE$12^AN88)+($V$32+$V$33)*AN$11/1000+SUM($AE$29:$AE$32)*$X$12^AN88+($AG$29+$AG$31)*$X$11^AN88+($X$33*$Z$11^AN88)+IF($X$10-1=AN88, $P104, 0))</f>
        <v>145597.10630328729</v>
      </c>
      <c r="AO105" s="12">
        <f t="shared" ref="AO105:CZ105" si="221">IF(AO88&gt;=$X$10, 0, SUM(AO$14:AO$27)+($X$32*$AE$12^AO88)+($V$32+$V$33)*AO$11/1000+SUM($AE$29:$AE$32)*$X$12^AO88+($AG$29+$AG$31)*$X$11^AO88+($X$33*$Z$11^AO88)+IF($X$10-1=AO88, $P104, 0))</f>
        <v>46509.048429353039</v>
      </c>
      <c r="AP105" s="12">
        <f t="shared" si="221"/>
        <v>47442.268240461417</v>
      </c>
      <c r="AQ105" s="12">
        <f t="shared" si="221"/>
        <v>48397.312844014115</v>
      </c>
      <c r="AR105" s="12">
        <f t="shared" si="221"/>
        <v>49374.745151708936</v>
      </c>
      <c r="AS105" s="12">
        <f t="shared" si="221"/>
        <v>50375.144390111556</v>
      </c>
      <c r="AT105" s="12">
        <f t="shared" si="221"/>
        <v>51399.106629218266</v>
      </c>
      <c r="AU105" s="12">
        <f t="shared" si="221"/>
        <v>52447.245329680605</v>
      </c>
      <c r="AV105" s="12">
        <f t="shared" si="221"/>
        <v>170686.13000961518</v>
      </c>
      <c r="AW105" s="12">
        <f t="shared" si="221"/>
        <v>54618.596330136716</v>
      </c>
      <c r="AX105" s="12">
        <f t="shared" si="221"/>
        <v>55743.127705123479</v>
      </c>
      <c r="AY105" s="12">
        <f t="shared" si="221"/>
        <v>56894.474928066651</v>
      </c>
      <c r="AZ105" s="12">
        <f t="shared" si="221"/>
        <v>58073.347324743641</v>
      </c>
      <c r="BA105" s="12">
        <f t="shared" si="221"/>
        <v>59280.475327800108</v>
      </c>
      <c r="BB105" s="12">
        <f t="shared" si="221"/>
        <v>60516.611175701488</v>
      </c>
      <c r="BC105" s="12">
        <f t="shared" si="221"/>
        <v>61782.529636736013</v>
      </c>
      <c r="BD105" s="12">
        <f t="shared" si="221"/>
        <v>200357.59926807458</v>
      </c>
      <c r="BE105" s="12">
        <f t="shared" si="221"/>
        <v>64406.930647439294</v>
      </c>
      <c r="BF105" s="12">
        <f t="shared" si="221"/>
        <v>65767.082268684884</v>
      </c>
      <c r="BG105" s="12">
        <f t="shared" si="221"/>
        <v>67160.35628520856</v>
      </c>
      <c r="BH105" s="12">
        <f t="shared" si="221"/>
        <v>0</v>
      </c>
      <c r="BI105" s="12">
        <f t="shared" si="221"/>
        <v>0</v>
      </c>
      <c r="BJ105" s="12">
        <f t="shared" si="221"/>
        <v>0</v>
      </c>
      <c r="BK105" s="12">
        <f t="shared" si="221"/>
        <v>0</v>
      </c>
      <c r="BL105" s="12">
        <f t="shared" si="221"/>
        <v>0</v>
      </c>
      <c r="BM105" s="12">
        <f t="shared" si="221"/>
        <v>0</v>
      </c>
      <c r="BN105" s="12">
        <f t="shared" si="221"/>
        <v>0</v>
      </c>
      <c r="BO105" s="12">
        <f t="shared" si="221"/>
        <v>0</v>
      </c>
      <c r="BP105" s="12">
        <f t="shared" si="221"/>
        <v>0</v>
      </c>
      <c r="BQ105" s="12">
        <f t="shared" si="221"/>
        <v>0</v>
      </c>
      <c r="BR105" s="12">
        <f t="shared" si="221"/>
        <v>0</v>
      </c>
      <c r="BS105" s="12">
        <f t="shared" si="221"/>
        <v>0</v>
      </c>
      <c r="BT105" s="12">
        <f t="shared" si="221"/>
        <v>0</v>
      </c>
      <c r="BU105" s="12">
        <f t="shared" si="221"/>
        <v>0</v>
      </c>
      <c r="BV105" s="12">
        <f t="shared" si="221"/>
        <v>0</v>
      </c>
      <c r="BW105" s="12">
        <f t="shared" si="221"/>
        <v>0</v>
      </c>
      <c r="BX105" s="12">
        <f t="shared" si="221"/>
        <v>0</v>
      </c>
      <c r="BY105" s="12">
        <f t="shared" si="221"/>
        <v>0</v>
      </c>
      <c r="BZ105" s="12">
        <f t="shared" si="221"/>
        <v>0</v>
      </c>
      <c r="CA105" s="12">
        <f t="shared" si="221"/>
        <v>0</v>
      </c>
      <c r="CB105" s="12">
        <f t="shared" si="221"/>
        <v>0</v>
      </c>
      <c r="CC105" s="12">
        <f t="shared" si="221"/>
        <v>0</v>
      </c>
      <c r="CD105" s="12">
        <f t="shared" si="221"/>
        <v>0</v>
      </c>
      <c r="CE105" s="12">
        <f t="shared" si="221"/>
        <v>0</v>
      </c>
      <c r="CF105" s="12">
        <f t="shared" si="221"/>
        <v>0</v>
      </c>
      <c r="CG105" s="12">
        <f t="shared" si="221"/>
        <v>0</v>
      </c>
      <c r="CH105" s="12">
        <f t="shared" si="221"/>
        <v>0</v>
      </c>
      <c r="CI105" s="12">
        <f t="shared" si="221"/>
        <v>0</v>
      </c>
      <c r="CJ105" s="12">
        <f t="shared" si="221"/>
        <v>0</v>
      </c>
      <c r="CK105" s="12">
        <f t="shared" si="221"/>
        <v>0</v>
      </c>
      <c r="CL105" s="12">
        <f t="shared" si="221"/>
        <v>0</v>
      </c>
      <c r="CM105" s="12">
        <f t="shared" si="221"/>
        <v>0</v>
      </c>
      <c r="CN105" s="12">
        <f t="shared" si="221"/>
        <v>0</v>
      </c>
      <c r="CO105" s="12">
        <f t="shared" si="221"/>
        <v>0</v>
      </c>
      <c r="CP105" s="12">
        <f t="shared" si="221"/>
        <v>0</v>
      </c>
      <c r="CQ105" s="12">
        <f t="shared" si="221"/>
        <v>0</v>
      </c>
      <c r="CR105" s="12">
        <f t="shared" si="221"/>
        <v>0</v>
      </c>
      <c r="CS105" s="12">
        <f t="shared" si="221"/>
        <v>0</v>
      </c>
      <c r="CT105" s="12">
        <f t="shared" si="221"/>
        <v>0</v>
      </c>
      <c r="CU105" s="12">
        <f t="shared" si="221"/>
        <v>0</v>
      </c>
      <c r="CV105" s="12">
        <f t="shared" si="221"/>
        <v>0</v>
      </c>
      <c r="CW105" s="12">
        <f t="shared" si="221"/>
        <v>0</v>
      </c>
      <c r="CX105" s="12">
        <f t="shared" si="221"/>
        <v>0</v>
      </c>
      <c r="CY105" s="12">
        <f t="shared" si="221"/>
        <v>0</v>
      </c>
      <c r="CZ105" s="12">
        <f t="shared" si="221"/>
        <v>0</v>
      </c>
      <c r="DA105" s="12">
        <f t="shared" ref="DA105:EJ105" si="222">IF(DA88&gt;=$X$10, 0, SUM(DA$14:DA$27)+($X$32*$AE$12^DA88)+($V$32+$V$33)*DA$11/1000+SUM($AE$29:$AE$32)*$X$12^DA88+($AG$29+$AG$31)*$X$11^DA88+($X$33*$Z$11^DA88)+IF($X$10-1=DA88, $P104, 0))</f>
        <v>0</v>
      </c>
      <c r="DB105" s="12">
        <f t="shared" si="222"/>
        <v>0</v>
      </c>
      <c r="DC105" s="12">
        <f t="shared" si="222"/>
        <v>0</v>
      </c>
      <c r="DD105" s="12">
        <f t="shared" si="222"/>
        <v>0</v>
      </c>
      <c r="DE105" s="12">
        <f t="shared" si="222"/>
        <v>0</v>
      </c>
      <c r="DF105" s="12">
        <f t="shared" si="222"/>
        <v>0</v>
      </c>
      <c r="DG105" s="12">
        <f t="shared" si="222"/>
        <v>0</v>
      </c>
      <c r="DH105" s="12">
        <f t="shared" si="222"/>
        <v>0</v>
      </c>
      <c r="DI105" s="12">
        <f t="shared" si="222"/>
        <v>0</v>
      </c>
      <c r="DJ105" s="12">
        <f t="shared" si="222"/>
        <v>0</v>
      </c>
      <c r="DK105" s="12">
        <f t="shared" si="222"/>
        <v>0</v>
      </c>
      <c r="DL105" s="12">
        <f t="shared" si="222"/>
        <v>0</v>
      </c>
      <c r="DM105" s="12">
        <f t="shared" si="222"/>
        <v>0</v>
      </c>
      <c r="DN105" s="12">
        <f t="shared" si="222"/>
        <v>0</v>
      </c>
      <c r="DO105" s="12">
        <f t="shared" si="222"/>
        <v>0</v>
      </c>
      <c r="DP105" s="12">
        <f t="shared" si="222"/>
        <v>0</v>
      </c>
      <c r="DQ105" s="12">
        <f t="shared" si="222"/>
        <v>0</v>
      </c>
      <c r="DR105" s="12">
        <f t="shared" si="222"/>
        <v>0</v>
      </c>
      <c r="DS105" s="12">
        <f t="shared" si="222"/>
        <v>0</v>
      </c>
      <c r="DT105" s="12">
        <f t="shared" si="222"/>
        <v>0</v>
      </c>
      <c r="DU105" s="12">
        <f t="shared" si="222"/>
        <v>0</v>
      </c>
      <c r="DV105" s="12">
        <f t="shared" si="222"/>
        <v>0</v>
      </c>
      <c r="DW105" s="12">
        <f t="shared" si="222"/>
        <v>0</v>
      </c>
      <c r="DX105" s="12">
        <f t="shared" si="222"/>
        <v>0</v>
      </c>
      <c r="DY105" s="12">
        <f t="shared" si="222"/>
        <v>0</v>
      </c>
      <c r="DZ105" s="12">
        <f t="shared" si="222"/>
        <v>0</v>
      </c>
      <c r="EA105" s="12">
        <f t="shared" si="222"/>
        <v>0</v>
      </c>
      <c r="EB105" s="12">
        <f t="shared" si="222"/>
        <v>0</v>
      </c>
      <c r="EC105" s="12">
        <f t="shared" si="222"/>
        <v>0</v>
      </c>
      <c r="ED105" s="12">
        <f t="shared" si="222"/>
        <v>0</v>
      </c>
      <c r="EE105" s="12">
        <f t="shared" si="222"/>
        <v>0</v>
      </c>
      <c r="EF105" s="12">
        <f t="shared" si="222"/>
        <v>0</v>
      </c>
      <c r="EG105" s="12">
        <f t="shared" si="222"/>
        <v>0</v>
      </c>
      <c r="EH105" s="12">
        <f t="shared" si="222"/>
        <v>0</v>
      </c>
      <c r="EI105" s="12">
        <f t="shared" si="222"/>
        <v>0</v>
      </c>
      <c r="EJ105" s="12">
        <f t="shared" si="222"/>
        <v>0</v>
      </c>
    </row>
    <row r="106" spans="1:345" x14ac:dyDescent="0.35">
      <c r="A106" s="132"/>
      <c r="B106" s="27"/>
      <c r="C106" s="27"/>
      <c r="D106" s="27"/>
      <c r="E106" s="27"/>
      <c r="F106" s="27"/>
      <c r="G106" s="27"/>
      <c r="H106" s="34"/>
      <c r="I106" s="39"/>
      <c r="J106" s="27"/>
      <c r="K106" s="27"/>
      <c r="L106" s="27"/>
      <c r="M106" s="27"/>
      <c r="N106" s="27"/>
      <c r="O106" s="34"/>
      <c r="P106" s="27"/>
      <c r="Q106" s="27"/>
      <c r="R106" s="132"/>
      <c r="T106" t="s">
        <v>297</v>
      </c>
      <c r="U106">
        <f>$X107+SUM($AE104:$AE107)+$AG104+$AG106+'General Project Info'!$K$20/1000*($V107+$V108)+$X108</f>
        <v>0</v>
      </c>
      <c r="Z106" t="s">
        <v>296</v>
      </c>
      <c r="AA106" t="s">
        <v>281</v>
      </c>
      <c r="AE106">
        <f>IF(I105&lt;&gt;0, 0, IF($V$10="Carbon Offset", $I104*$V$12, 0))</f>
        <v>0</v>
      </c>
      <c r="AG106">
        <f>IF(I105&lt;&gt;0, 0, IF($V$10="RECs", (-$I104/(VLOOKUP("RECs", 'General Project Info'!$R$30:$W$40, 5, FALSE)))*$V$11, 0))</f>
        <v>0</v>
      </c>
      <c r="AM106" t="s">
        <v>295</v>
      </c>
      <c r="AN106" s="12" t="e">
        <f>AN104+AN105</f>
        <v>#DIV/0!</v>
      </c>
      <c r="AO106" s="12" t="e">
        <f t="shared" ref="AO106" si="223">AO104+AO105</f>
        <v>#DIV/0!</v>
      </c>
      <c r="AP106" s="12" t="e">
        <f>AP104+AP105</f>
        <v>#DIV/0!</v>
      </c>
      <c r="AQ106" s="12" t="e">
        <f>AQ104+AQ105</f>
        <v>#DIV/0!</v>
      </c>
      <c r="AR106" s="12" t="e">
        <f>AR104+AR105</f>
        <v>#DIV/0!</v>
      </c>
      <c r="AS106" s="12" t="e">
        <f t="shared" ref="AS106:DD106" si="224">AS104+AS105</f>
        <v>#DIV/0!</v>
      </c>
      <c r="AT106" s="12" t="e">
        <f t="shared" si="224"/>
        <v>#DIV/0!</v>
      </c>
      <c r="AU106" s="12" t="e">
        <f t="shared" si="224"/>
        <v>#DIV/0!</v>
      </c>
      <c r="AV106" s="12" t="e">
        <f t="shared" si="224"/>
        <v>#DIV/0!</v>
      </c>
      <c r="AW106" s="12" t="e">
        <f t="shared" si="224"/>
        <v>#DIV/0!</v>
      </c>
      <c r="AX106" s="12" t="e">
        <f t="shared" si="224"/>
        <v>#DIV/0!</v>
      </c>
      <c r="AY106" s="12" t="e">
        <f t="shared" si="224"/>
        <v>#DIV/0!</v>
      </c>
      <c r="AZ106" s="12" t="e">
        <f t="shared" si="224"/>
        <v>#DIV/0!</v>
      </c>
      <c r="BA106" s="12" t="e">
        <f t="shared" si="224"/>
        <v>#DIV/0!</v>
      </c>
      <c r="BB106" s="12" t="e">
        <f t="shared" si="224"/>
        <v>#DIV/0!</v>
      </c>
      <c r="BC106" s="12" t="e">
        <f t="shared" si="224"/>
        <v>#DIV/0!</v>
      </c>
      <c r="BD106" s="12" t="e">
        <f t="shared" si="224"/>
        <v>#DIV/0!</v>
      </c>
      <c r="BE106" s="12" t="e">
        <f t="shared" si="224"/>
        <v>#DIV/0!</v>
      </c>
      <c r="BF106" s="12" t="e">
        <f t="shared" si="224"/>
        <v>#DIV/0!</v>
      </c>
      <c r="BG106" s="12" t="e">
        <f t="shared" si="224"/>
        <v>#DIV/0!</v>
      </c>
      <c r="BH106" s="12">
        <f t="shared" si="224"/>
        <v>0</v>
      </c>
      <c r="BI106" s="12">
        <f t="shared" si="224"/>
        <v>0</v>
      </c>
      <c r="BJ106" s="12">
        <f t="shared" si="224"/>
        <v>0</v>
      </c>
      <c r="BK106" s="12">
        <f t="shared" si="224"/>
        <v>0</v>
      </c>
      <c r="BL106" s="12">
        <f t="shared" si="224"/>
        <v>0</v>
      </c>
      <c r="BM106" s="12">
        <f t="shared" si="224"/>
        <v>0</v>
      </c>
      <c r="BN106" s="12">
        <f t="shared" si="224"/>
        <v>0</v>
      </c>
      <c r="BO106" s="12">
        <f t="shared" si="224"/>
        <v>0</v>
      </c>
      <c r="BP106" s="12">
        <f t="shared" si="224"/>
        <v>0</v>
      </c>
      <c r="BQ106" s="12">
        <f t="shared" si="224"/>
        <v>0</v>
      </c>
      <c r="BR106" s="12">
        <f t="shared" si="224"/>
        <v>0</v>
      </c>
      <c r="BS106" s="12">
        <f t="shared" si="224"/>
        <v>0</v>
      </c>
      <c r="BT106" s="12">
        <f t="shared" si="224"/>
        <v>0</v>
      </c>
      <c r="BU106" s="12">
        <f t="shared" si="224"/>
        <v>0</v>
      </c>
      <c r="BV106" s="12">
        <f t="shared" si="224"/>
        <v>0</v>
      </c>
      <c r="BW106" s="12">
        <f t="shared" si="224"/>
        <v>0</v>
      </c>
      <c r="BX106" s="12">
        <f t="shared" si="224"/>
        <v>0</v>
      </c>
      <c r="BY106" s="12">
        <f t="shared" si="224"/>
        <v>0</v>
      </c>
      <c r="BZ106" s="12">
        <f t="shared" si="224"/>
        <v>0</v>
      </c>
      <c r="CA106" s="12">
        <f t="shared" si="224"/>
        <v>0</v>
      </c>
      <c r="CB106" s="12">
        <f t="shared" si="224"/>
        <v>0</v>
      </c>
      <c r="CC106" s="12">
        <f t="shared" si="224"/>
        <v>0</v>
      </c>
      <c r="CD106" s="12">
        <f t="shared" si="224"/>
        <v>0</v>
      </c>
      <c r="CE106" s="12">
        <f t="shared" si="224"/>
        <v>0</v>
      </c>
      <c r="CF106" s="12">
        <f t="shared" si="224"/>
        <v>0</v>
      </c>
      <c r="CG106" s="12">
        <f t="shared" si="224"/>
        <v>0</v>
      </c>
      <c r="CH106" s="12">
        <f t="shared" si="224"/>
        <v>0</v>
      </c>
      <c r="CI106" s="12">
        <f t="shared" si="224"/>
        <v>0</v>
      </c>
      <c r="CJ106" s="12">
        <f t="shared" si="224"/>
        <v>0</v>
      </c>
      <c r="CK106" s="12">
        <f t="shared" si="224"/>
        <v>0</v>
      </c>
      <c r="CL106" s="12">
        <f t="shared" si="224"/>
        <v>0</v>
      </c>
      <c r="CM106" s="12">
        <f t="shared" si="224"/>
        <v>0</v>
      </c>
      <c r="CN106" s="12">
        <f t="shared" si="224"/>
        <v>0</v>
      </c>
      <c r="CO106" s="12">
        <f t="shared" si="224"/>
        <v>0</v>
      </c>
      <c r="CP106" s="12">
        <f t="shared" si="224"/>
        <v>0</v>
      </c>
      <c r="CQ106" s="12">
        <f t="shared" si="224"/>
        <v>0</v>
      </c>
      <c r="CR106" s="12">
        <f t="shared" si="224"/>
        <v>0</v>
      </c>
      <c r="CS106" s="12">
        <f t="shared" si="224"/>
        <v>0</v>
      </c>
      <c r="CT106" s="12">
        <f t="shared" si="224"/>
        <v>0</v>
      </c>
      <c r="CU106" s="12">
        <f t="shared" si="224"/>
        <v>0</v>
      </c>
      <c r="CV106" s="12">
        <f t="shared" si="224"/>
        <v>0</v>
      </c>
      <c r="CW106" s="12">
        <f t="shared" si="224"/>
        <v>0</v>
      </c>
      <c r="CX106" s="12">
        <f t="shared" si="224"/>
        <v>0</v>
      </c>
      <c r="CY106" s="12">
        <f t="shared" si="224"/>
        <v>0</v>
      </c>
      <c r="CZ106" s="12">
        <f t="shared" si="224"/>
        <v>0</v>
      </c>
      <c r="DA106" s="12">
        <f t="shared" si="224"/>
        <v>0</v>
      </c>
      <c r="DB106" s="12">
        <f t="shared" si="224"/>
        <v>0</v>
      </c>
      <c r="DC106" s="12">
        <f t="shared" si="224"/>
        <v>0</v>
      </c>
      <c r="DD106" s="12">
        <f t="shared" si="224"/>
        <v>0</v>
      </c>
      <c r="DE106" s="12">
        <f t="shared" ref="DE106:EJ106" si="225">DE104+DE105</f>
        <v>0</v>
      </c>
      <c r="DF106" s="12">
        <f t="shared" si="225"/>
        <v>0</v>
      </c>
      <c r="DG106" s="12">
        <f t="shared" si="225"/>
        <v>0</v>
      </c>
      <c r="DH106" s="12">
        <f t="shared" si="225"/>
        <v>0</v>
      </c>
      <c r="DI106" s="12">
        <f t="shared" si="225"/>
        <v>0</v>
      </c>
      <c r="DJ106" s="12">
        <f t="shared" si="225"/>
        <v>0</v>
      </c>
      <c r="DK106" s="12">
        <f t="shared" si="225"/>
        <v>0</v>
      </c>
      <c r="DL106" s="12">
        <f t="shared" si="225"/>
        <v>0</v>
      </c>
      <c r="DM106" s="12">
        <f t="shared" si="225"/>
        <v>0</v>
      </c>
      <c r="DN106" s="12">
        <f t="shared" si="225"/>
        <v>0</v>
      </c>
      <c r="DO106" s="12">
        <f t="shared" si="225"/>
        <v>0</v>
      </c>
      <c r="DP106" s="12">
        <f t="shared" si="225"/>
        <v>0</v>
      </c>
      <c r="DQ106" s="12">
        <f t="shared" si="225"/>
        <v>0</v>
      </c>
      <c r="DR106" s="12">
        <f t="shared" si="225"/>
        <v>0</v>
      </c>
      <c r="DS106" s="12">
        <f t="shared" si="225"/>
        <v>0</v>
      </c>
      <c r="DT106" s="12">
        <f t="shared" si="225"/>
        <v>0</v>
      </c>
      <c r="DU106" s="12">
        <f t="shared" si="225"/>
        <v>0</v>
      </c>
      <c r="DV106" s="12">
        <f t="shared" si="225"/>
        <v>0</v>
      </c>
      <c r="DW106" s="12">
        <f t="shared" si="225"/>
        <v>0</v>
      </c>
      <c r="DX106" s="12">
        <f t="shared" si="225"/>
        <v>0</v>
      </c>
      <c r="DY106" s="12">
        <f t="shared" si="225"/>
        <v>0</v>
      </c>
      <c r="DZ106" s="12">
        <f t="shared" si="225"/>
        <v>0</v>
      </c>
      <c r="EA106" s="12">
        <f t="shared" si="225"/>
        <v>0</v>
      </c>
      <c r="EB106" s="12">
        <f t="shared" si="225"/>
        <v>0</v>
      </c>
      <c r="EC106" s="12">
        <f t="shared" si="225"/>
        <v>0</v>
      </c>
      <c r="ED106" s="12">
        <f t="shared" si="225"/>
        <v>0</v>
      </c>
      <c r="EE106" s="12">
        <f t="shared" si="225"/>
        <v>0</v>
      </c>
      <c r="EF106" s="12">
        <f t="shared" si="225"/>
        <v>0</v>
      </c>
      <c r="EG106" s="12">
        <f t="shared" si="225"/>
        <v>0</v>
      </c>
      <c r="EH106" s="12">
        <f t="shared" si="225"/>
        <v>0</v>
      </c>
      <c r="EI106" s="12">
        <f t="shared" si="225"/>
        <v>0</v>
      </c>
      <c r="EJ106" s="12">
        <f t="shared" si="225"/>
        <v>0</v>
      </c>
    </row>
    <row r="107" spans="1:345" x14ac:dyDescent="0.35">
      <c r="A107" s="132"/>
      <c r="B107" s="27"/>
      <c r="C107" s="27"/>
      <c r="D107" s="27"/>
      <c r="E107" s="27"/>
      <c r="F107" s="27"/>
      <c r="G107" s="27"/>
      <c r="H107" s="27"/>
      <c r="I107" s="34"/>
      <c r="J107" s="34"/>
      <c r="K107" s="27"/>
      <c r="L107" s="27"/>
      <c r="M107" s="27"/>
      <c r="N107" s="27"/>
      <c r="O107" s="27"/>
      <c r="P107" s="27"/>
      <c r="Q107" s="27"/>
      <c r="R107" s="132"/>
      <c r="T107" t="s">
        <v>453</v>
      </c>
      <c r="V107" s="12">
        <f>IF(I105&gt;0, I105, I104)</f>
        <v>0</v>
      </c>
      <c r="W107" s="25" t="s">
        <v>300</v>
      </c>
      <c r="X107" s="25">
        <f>IF(H105&gt;0, H105, H104)</f>
        <v>0</v>
      </c>
      <c r="AA107" s="12" t="s">
        <v>282</v>
      </c>
      <c r="AB107" s="12"/>
      <c r="AC107" s="12"/>
      <c r="AD107" s="12"/>
      <c r="AE107">
        <f>IF(J105&lt;&gt;0, 0, $J104*$V$12)</f>
        <v>0</v>
      </c>
      <c r="AL107" s="12"/>
      <c r="AM107" t="s">
        <v>303</v>
      </c>
      <c r="AN107" s="22" t="e">
        <f>IRR(AN106:EJ106)</f>
        <v>#VALUE!</v>
      </c>
      <c r="AO107" t="e">
        <f t="array" ref="AO107">SUM(IF(AN106:EI106*AO106:EJ106&lt;0,1,0))</f>
        <v>#DIV/0!</v>
      </c>
    </row>
    <row r="108" spans="1:345" x14ac:dyDescent="0.35">
      <c r="A108" s="132"/>
      <c r="B108" s="27"/>
      <c r="C108" s="27"/>
      <c r="D108" s="27"/>
      <c r="E108" s="27"/>
      <c r="F108" s="27"/>
      <c r="G108" s="27"/>
      <c r="H108" s="27"/>
      <c r="I108" s="34"/>
      <c r="J108" s="27"/>
      <c r="K108" s="27"/>
      <c r="L108" s="27"/>
      <c r="M108" s="27"/>
      <c r="N108" s="27"/>
      <c r="O108" s="27"/>
      <c r="P108" s="27"/>
      <c r="Q108" s="27"/>
      <c r="R108" s="132"/>
      <c r="T108" t="s">
        <v>454</v>
      </c>
      <c r="V108">
        <f>IF(J105&gt;0, J105, J104)</f>
        <v>0</v>
      </c>
      <c r="W108" s="25" t="s">
        <v>302</v>
      </c>
      <c r="X108" s="25">
        <f>IF(O105&gt;0, O105, O104)</f>
        <v>0</v>
      </c>
      <c r="AM108" t="s">
        <v>466</v>
      </c>
      <c r="AN108" s="12" t="e">
        <f>SUM(AN106:EJ106)</f>
        <v>#DIV/0!</v>
      </c>
    </row>
    <row r="109" spans="1:345" ht="30" customHeight="1" x14ac:dyDescent="0.35">
      <c r="A109" s="132"/>
      <c r="B109" s="27"/>
      <c r="C109" s="27"/>
      <c r="D109" s="27"/>
      <c r="E109" s="27"/>
      <c r="F109" s="27"/>
      <c r="G109" s="27"/>
      <c r="H109" s="27"/>
      <c r="I109" s="27"/>
      <c r="J109" s="27"/>
      <c r="K109" s="27"/>
      <c r="L109" s="27"/>
      <c r="M109" s="127"/>
      <c r="N109" s="27"/>
      <c r="O109" s="27"/>
      <c r="P109" s="27"/>
      <c r="Q109" s="27"/>
      <c r="R109" s="132"/>
      <c r="U109" s="12"/>
      <c r="V109" s="12"/>
      <c r="W109" s="12"/>
      <c r="X109" s="12"/>
      <c r="AG109" s="12"/>
      <c r="AH109" s="12"/>
      <c r="AI109" s="12"/>
      <c r="AJ109" s="12"/>
      <c r="AK109" s="12"/>
      <c r="AL109" s="12"/>
      <c r="AM109" s="12" t="s">
        <v>467</v>
      </c>
      <c r="AN109" t="str">
        <f>IFERROR(IF(OR(AN108&lt;0, AO107&gt;1, AO107=0), "NA - see note", "NO"),"NA - see note")</f>
        <v>NA - see note</v>
      </c>
    </row>
    <row r="110" spans="1:345" x14ac:dyDescent="0.35">
      <c r="A110" s="132"/>
      <c r="B110" s="132"/>
      <c r="C110" s="132"/>
      <c r="D110" s="132"/>
      <c r="E110" s="132"/>
      <c r="F110" s="132"/>
      <c r="G110" s="132"/>
      <c r="H110" s="132"/>
      <c r="I110" s="132"/>
      <c r="J110" s="132"/>
      <c r="K110" s="132"/>
      <c r="L110" s="132"/>
      <c r="M110" s="132"/>
      <c r="N110" s="132"/>
      <c r="O110" s="132"/>
      <c r="P110" s="132"/>
      <c r="Q110" s="132"/>
      <c r="R110" s="132"/>
    </row>
    <row r="112" spans="1:345" x14ac:dyDescent="0.35">
      <c r="AE112" s="12"/>
    </row>
  </sheetData>
  <sheetProtection algorithmName="SHA-512" hashValue="Dadd0XBRm3VK7xYYO+T1VmSxIr5LZhSG5/xCTniYkFLespEaTqbO5CGMhCb3OyORhatfBjTkt5tHd/bnOfDubQ==" saltValue="cFLdHClHslO2aZQUB4YUJg==" spinCount="100000" sheet="1" objects="1" scenarios="1"/>
  <sortState xmlns:xlrd2="http://schemas.microsoft.com/office/spreadsheetml/2017/richdata2" ref="AO14:AO125">
    <sortCondition ref="AO14"/>
  </sortState>
  <mergeCells count="65">
    <mergeCell ref="I2:Q8"/>
    <mergeCell ref="C101:D101"/>
    <mergeCell ref="C102:D102"/>
    <mergeCell ref="C95:D95"/>
    <mergeCell ref="C96:D96"/>
    <mergeCell ref="C97:D97"/>
    <mergeCell ref="C98:D98"/>
    <mergeCell ref="C99:D99"/>
    <mergeCell ref="C91:D91"/>
    <mergeCell ref="C92:D92"/>
    <mergeCell ref="C93:D93"/>
    <mergeCell ref="C94:D94"/>
    <mergeCell ref="C100:D100"/>
    <mergeCell ref="C77:D77"/>
    <mergeCell ref="C89:D89"/>
    <mergeCell ref="E86:G86"/>
    <mergeCell ref="C88:D88"/>
    <mergeCell ref="C90:D90"/>
    <mergeCell ref="C72:D72"/>
    <mergeCell ref="C73:D73"/>
    <mergeCell ref="C74:D74"/>
    <mergeCell ref="C75:D75"/>
    <mergeCell ref="C76:D76"/>
    <mergeCell ref="C67:D67"/>
    <mergeCell ref="C68:D68"/>
    <mergeCell ref="C69:D69"/>
    <mergeCell ref="C70:D70"/>
    <mergeCell ref="C71:D71"/>
    <mergeCell ref="C42:D42"/>
    <mergeCell ref="C43:D43"/>
    <mergeCell ref="C64:D64"/>
    <mergeCell ref="C65:D65"/>
    <mergeCell ref="C66:D66"/>
    <mergeCell ref="C25:D25"/>
    <mergeCell ref="C49:D49"/>
    <mergeCell ref="C50:D50"/>
    <mergeCell ref="C51:D51"/>
    <mergeCell ref="C52:D52"/>
    <mergeCell ref="C26:D26"/>
    <mergeCell ref="C27:D27"/>
    <mergeCell ref="C38:D38"/>
    <mergeCell ref="C44:D44"/>
    <mergeCell ref="C45:D45"/>
    <mergeCell ref="C46:D46"/>
    <mergeCell ref="C47:D47"/>
    <mergeCell ref="C48:D48"/>
    <mergeCell ref="C39:D39"/>
    <mergeCell ref="C40:D40"/>
    <mergeCell ref="C41:D41"/>
    <mergeCell ref="C13:D13"/>
    <mergeCell ref="C63:D63"/>
    <mergeCell ref="E11:G11"/>
    <mergeCell ref="E36:G36"/>
    <mergeCell ref="E61:G61"/>
    <mergeCell ref="C14:D14"/>
    <mergeCell ref="C15:D15"/>
    <mergeCell ref="C16:D16"/>
    <mergeCell ref="C17:D17"/>
    <mergeCell ref="C18:D18"/>
    <mergeCell ref="C19:D19"/>
    <mergeCell ref="C20:D20"/>
    <mergeCell ref="C21:D21"/>
    <mergeCell ref="C22:D22"/>
    <mergeCell ref="C23:D23"/>
    <mergeCell ref="C24:D24"/>
  </mergeCells>
  <dataValidations count="1">
    <dataValidation type="list" allowBlank="1" showInputMessage="1" showErrorMessage="1" sqref="J11 J86 J61 J36" xr:uid="{B8D3066F-A2E4-4F29-86B2-1257998E3D6D}">
      <formula1>Meets_ZCB_option</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4" operator="equal" id="{B50AD2B8-C4A7-470C-B84A-6F7E922C870E}">
            <xm:f>Results!$R$13</xm:f>
            <x14:dxf>
              <fill>
                <patternFill>
                  <bgColor theme="8" tint="-0.499984740745262"/>
                </patternFill>
              </fill>
            </x14:dxf>
          </x14:cfRule>
          <xm:sqref>J11</xm:sqref>
        </x14:conditionalFormatting>
        <x14:conditionalFormatting xmlns:xm="http://schemas.microsoft.com/office/excel/2006/main">
          <x14:cfRule type="cellIs" priority="3" operator="equal" id="{7B349A79-B56F-4795-94F8-FEA30BCC93FE}">
            <xm:f>Results!$R$13</xm:f>
            <x14:dxf>
              <fill>
                <patternFill>
                  <bgColor theme="8" tint="-0.499984740745262"/>
                </patternFill>
              </fill>
            </x14:dxf>
          </x14:cfRule>
          <xm:sqref>J36</xm:sqref>
        </x14:conditionalFormatting>
        <x14:conditionalFormatting xmlns:xm="http://schemas.microsoft.com/office/excel/2006/main">
          <x14:cfRule type="cellIs" priority="2" operator="equal" id="{A8AB14EE-8815-4D39-A070-99552496C9BD}">
            <xm:f>Results!$R$13</xm:f>
            <x14:dxf>
              <fill>
                <patternFill>
                  <bgColor theme="8" tint="-0.499984740745262"/>
                </patternFill>
              </fill>
            </x14:dxf>
          </x14:cfRule>
          <xm:sqref>J61</xm:sqref>
        </x14:conditionalFormatting>
        <x14:conditionalFormatting xmlns:xm="http://schemas.microsoft.com/office/excel/2006/main">
          <x14:cfRule type="cellIs" priority="1" operator="equal" id="{9287F587-9DC8-43C5-9E33-D5BD69ADCE0E}">
            <xm:f>Results!$R$13</xm:f>
            <x14:dxf>
              <fill>
                <patternFill>
                  <bgColor theme="8" tint="-0.499984740745262"/>
                </patternFill>
              </fill>
            </x14:dxf>
          </x14:cfRule>
          <xm:sqref>J86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AF54D01-8EA4-4717-8694-71DB268B8CB7}">
          <x14:formula1>
            <xm:f>'General Project Info'!$Y$30:$Y$38</xm:f>
          </x14:formula1>
          <xm:sqref>E89:E102 E14:E27 E39:E52 E64:E77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C6546-B974-4C59-B9D1-4FDD8F9E7DCE}">
  <sheetPr>
    <pageSetUpPr fitToPage="1"/>
  </sheetPr>
  <dimension ref="A1:AO85"/>
  <sheetViews>
    <sheetView showGridLines="0" showRowColHeaders="0" zoomScaleNormal="100" workbookViewId="0"/>
  </sheetViews>
  <sheetFormatPr defaultRowHeight="14.5" x14ac:dyDescent="0.35"/>
  <cols>
    <col min="1" max="1" width="3.1796875" customWidth="1"/>
    <col min="2" max="2" width="1.453125" customWidth="1"/>
    <col min="3" max="3" width="33.453125" customWidth="1"/>
    <col min="4" max="4" width="18.7265625" customWidth="1"/>
    <col min="5" max="5" width="1.26953125" customWidth="1"/>
    <col min="6" max="7" width="18.7265625" customWidth="1"/>
    <col min="8" max="8" width="1.26953125" customWidth="1"/>
    <col min="9" max="10" width="18.7265625" customWidth="1"/>
    <col min="11" max="11" width="1.26953125" customWidth="1"/>
    <col min="12" max="13" width="18.7265625" customWidth="1"/>
    <col min="14" max="14" width="9.81640625" customWidth="1"/>
    <col min="15" max="15" width="0.54296875" customWidth="1"/>
    <col min="16" max="16" width="3.1796875" customWidth="1"/>
    <col min="18" max="18" width="4" hidden="1" customWidth="1"/>
  </cols>
  <sheetData>
    <row r="1" spans="1:41" x14ac:dyDescent="0.35">
      <c r="A1" s="132"/>
      <c r="B1" s="132"/>
      <c r="C1" s="132"/>
      <c r="D1" s="132"/>
      <c r="E1" s="132"/>
      <c r="F1" s="132"/>
      <c r="G1" s="132"/>
      <c r="H1" s="132"/>
      <c r="I1" s="132"/>
      <c r="J1" s="132"/>
      <c r="K1" s="132"/>
      <c r="L1" s="132"/>
      <c r="M1" s="132"/>
      <c r="N1" s="132"/>
      <c r="O1" s="132"/>
      <c r="P1" s="132"/>
    </row>
    <row r="2" spans="1:41" ht="14.65" customHeight="1" x14ac:dyDescent="0.35">
      <c r="A2" s="132"/>
      <c r="B2" s="62"/>
      <c r="C2" s="62"/>
      <c r="D2" s="62"/>
      <c r="E2" s="62"/>
      <c r="F2" s="62"/>
      <c r="G2" s="62"/>
      <c r="H2" s="151" t="s">
        <v>484</v>
      </c>
      <c r="I2" s="151"/>
      <c r="J2" s="151"/>
      <c r="K2" s="151"/>
      <c r="L2" s="151"/>
      <c r="M2" s="151"/>
      <c r="N2" s="151"/>
      <c r="O2" s="151"/>
      <c r="P2" s="132"/>
    </row>
    <row r="3" spans="1:41" ht="15" customHeight="1" x14ac:dyDescent="0.35">
      <c r="A3" s="132"/>
      <c r="B3" s="62"/>
      <c r="C3" s="62"/>
      <c r="D3" s="62"/>
      <c r="E3" s="62"/>
      <c r="F3" s="62"/>
      <c r="G3" s="62"/>
      <c r="H3" s="151"/>
      <c r="I3" s="151"/>
      <c r="J3" s="151"/>
      <c r="K3" s="151"/>
      <c r="L3" s="151"/>
      <c r="M3" s="151"/>
      <c r="N3" s="151"/>
      <c r="O3" s="151"/>
      <c r="P3" s="132"/>
      <c r="AB3" s="151" t="s">
        <v>470</v>
      </c>
      <c r="AC3" s="151"/>
      <c r="AD3" s="151"/>
      <c r="AE3" s="151"/>
      <c r="AF3" s="151"/>
      <c r="AG3" s="151"/>
      <c r="AH3" s="151"/>
      <c r="AI3" s="151"/>
      <c r="AJ3" s="151"/>
      <c r="AK3" s="151"/>
      <c r="AL3" s="151"/>
      <c r="AM3" s="151"/>
      <c r="AN3" s="151"/>
      <c r="AO3" s="151"/>
    </row>
    <row r="4" spans="1:41" ht="15" customHeight="1" x14ac:dyDescent="0.35">
      <c r="A4" s="132"/>
      <c r="B4" s="62"/>
      <c r="C4" s="62"/>
      <c r="D4" s="62"/>
      <c r="E4" s="62"/>
      <c r="F4" s="62"/>
      <c r="G4" s="62"/>
      <c r="H4" s="151"/>
      <c r="I4" s="151"/>
      <c r="J4" s="151"/>
      <c r="K4" s="151"/>
      <c r="L4" s="151"/>
      <c r="M4" s="151"/>
      <c r="N4" s="151"/>
      <c r="O4" s="151"/>
      <c r="P4" s="132"/>
      <c r="AB4" s="151"/>
      <c r="AC4" s="151"/>
      <c r="AD4" s="151"/>
      <c r="AE4" s="151"/>
      <c r="AF4" s="151"/>
      <c r="AG4" s="151"/>
      <c r="AH4" s="151"/>
      <c r="AI4" s="151"/>
      <c r="AJ4" s="151"/>
      <c r="AK4" s="151"/>
      <c r="AL4" s="151"/>
      <c r="AM4" s="151"/>
      <c r="AN4" s="151"/>
      <c r="AO4" s="151"/>
    </row>
    <row r="5" spans="1:41" ht="15" customHeight="1" x14ac:dyDescent="0.35">
      <c r="A5" s="132"/>
      <c r="B5" s="62"/>
      <c r="C5" s="62"/>
      <c r="D5" s="62"/>
      <c r="E5" s="62"/>
      <c r="F5" s="62"/>
      <c r="G5" s="62"/>
      <c r="H5" s="151"/>
      <c r="I5" s="151"/>
      <c r="J5" s="151"/>
      <c r="K5" s="151"/>
      <c r="L5" s="151"/>
      <c r="M5" s="151"/>
      <c r="N5" s="151"/>
      <c r="O5" s="151"/>
      <c r="P5" s="132"/>
      <c r="AB5" s="151"/>
      <c r="AC5" s="151"/>
      <c r="AD5" s="151"/>
      <c r="AE5" s="151"/>
      <c r="AF5" s="151"/>
      <c r="AG5" s="151"/>
      <c r="AH5" s="151"/>
      <c r="AI5" s="151"/>
      <c r="AJ5" s="151"/>
      <c r="AK5" s="151"/>
      <c r="AL5" s="151"/>
      <c r="AM5" s="151"/>
      <c r="AN5" s="151"/>
      <c r="AO5" s="151"/>
    </row>
    <row r="6" spans="1:41" ht="15" customHeight="1" x14ac:dyDescent="0.35">
      <c r="A6" s="132"/>
      <c r="B6" s="62"/>
      <c r="C6" s="62"/>
      <c r="D6" s="62"/>
      <c r="E6" s="62"/>
      <c r="F6" s="62"/>
      <c r="G6" s="62"/>
      <c r="H6" s="151"/>
      <c r="I6" s="151"/>
      <c r="J6" s="151"/>
      <c r="K6" s="151"/>
      <c r="L6" s="151"/>
      <c r="M6" s="151"/>
      <c r="N6" s="151"/>
      <c r="O6" s="151"/>
      <c r="P6" s="132"/>
      <c r="AB6" s="151"/>
      <c r="AC6" s="151"/>
      <c r="AD6" s="151"/>
      <c r="AE6" s="151"/>
      <c r="AF6" s="151"/>
      <c r="AG6" s="151"/>
      <c r="AH6" s="151"/>
      <c r="AI6" s="151"/>
      <c r="AJ6" s="151"/>
      <c r="AK6" s="151"/>
      <c r="AL6" s="151"/>
      <c r="AM6" s="151"/>
      <c r="AN6" s="151"/>
      <c r="AO6" s="151"/>
    </row>
    <row r="7" spans="1:41" ht="15" customHeight="1" x14ac:dyDescent="0.35">
      <c r="A7" s="132"/>
      <c r="B7" s="62"/>
      <c r="C7" s="62"/>
      <c r="D7" s="62"/>
      <c r="E7" s="62"/>
      <c r="F7" s="62"/>
      <c r="G7" s="62"/>
      <c r="H7" s="151"/>
      <c r="I7" s="151"/>
      <c r="J7" s="151"/>
      <c r="K7" s="151"/>
      <c r="L7" s="151"/>
      <c r="M7" s="151"/>
      <c r="N7" s="151"/>
      <c r="O7" s="151"/>
      <c r="P7" s="132"/>
      <c r="AB7" s="151"/>
      <c r="AC7" s="151"/>
      <c r="AD7" s="151"/>
      <c r="AE7" s="151"/>
      <c r="AF7" s="151"/>
      <c r="AG7" s="151"/>
      <c r="AH7" s="151"/>
      <c r="AI7" s="151"/>
      <c r="AJ7" s="151"/>
      <c r="AK7" s="151"/>
      <c r="AL7" s="151"/>
      <c r="AM7" s="151"/>
      <c r="AN7" s="151"/>
      <c r="AO7" s="151"/>
    </row>
    <row r="8" spans="1:41" ht="15" customHeight="1" x14ac:dyDescent="0.35">
      <c r="A8" s="132"/>
      <c r="B8" s="62"/>
      <c r="C8" s="62"/>
      <c r="D8" s="62"/>
      <c r="E8" s="62"/>
      <c r="F8" s="62"/>
      <c r="G8" s="62"/>
      <c r="H8" s="151"/>
      <c r="I8" s="151"/>
      <c r="J8" s="151"/>
      <c r="K8" s="151"/>
      <c r="L8" s="151"/>
      <c r="M8" s="151"/>
      <c r="N8" s="151"/>
      <c r="O8" s="151"/>
      <c r="P8" s="132"/>
      <c r="AB8" s="151"/>
      <c r="AC8" s="151"/>
      <c r="AD8" s="151"/>
      <c r="AE8" s="151"/>
      <c r="AF8" s="151"/>
      <c r="AG8" s="151"/>
      <c r="AH8" s="151"/>
      <c r="AI8" s="151"/>
      <c r="AJ8" s="151"/>
      <c r="AK8" s="151"/>
      <c r="AL8" s="151"/>
      <c r="AM8" s="151"/>
      <c r="AN8" s="151"/>
      <c r="AO8" s="151"/>
    </row>
    <row r="9" spans="1:41" ht="14.65" customHeight="1" x14ac:dyDescent="0.35">
      <c r="A9" s="132"/>
      <c r="B9" s="27"/>
      <c r="C9" s="27"/>
      <c r="E9" s="27"/>
      <c r="F9" s="27"/>
      <c r="G9" s="27"/>
      <c r="H9" s="27"/>
      <c r="I9" s="27"/>
      <c r="J9" s="27"/>
      <c r="K9" s="27"/>
      <c r="L9" s="40" t="s">
        <v>18</v>
      </c>
      <c r="M9" s="59">
        <f>+'General Project Info'!$F$22</f>
        <v>3</v>
      </c>
      <c r="N9" s="27" t="s">
        <v>12</v>
      </c>
      <c r="O9" s="27"/>
      <c r="P9" s="132"/>
      <c r="AB9" s="151"/>
      <c r="AC9" s="151"/>
      <c r="AD9" s="151"/>
      <c r="AE9" s="151"/>
      <c r="AF9" s="151"/>
      <c r="AG9" s="151"/>
      <c r="AH9" s="151"/>
      <c r="AI9" s="151"/>
      <c r="AJ9" s="151"/>
      <c r="AK9" s="151"/>
      <c r="AL9" s="151"/>
      <c r="AM9" s="151"/>
      <c r="AN9" s="151"/>
      <c r="AO9" s="151"/>
    </row>
    <row r="10" spans="1:41" x14ac:dyDescent="0.35">
      <c r="A10" s="132"/>
      <c r="B10" s="27"/>
      <c r="C10" s="28" t="s">
        <v>396</v>
      </c>
      <c r="D10" s="173" t="str">
        <f>IF('General Project Info'!D12&lt;&gt;"",'General Project Info'!D12,"")</f>
        <v/>
      </c>
      <c r="E10" s="173"/>
      <c r="F10" s="173"/>
      <c r="G10" s="173"/>
      <c r="H10" s="27"/>
      <c r="I10" s="27"/>
      <c r="J10" s="27"/>
      <c r="K10" s="40"/>
      <c r="L10" s="40" t="s">
        <v>442</v>
      </c>
      <c r="M10" s="59">
        <f>'Scenarios &amp; Measures'!X10</f>
        <v>20</v>
      </c>
      <c r="N10" s="27" t="s">
        <v>20</v>
      </c>
      <c r="O10" s="27"/>
      <c r="P10" s="132"/>
    </row>
    <row r="11" spans="1:41" x14ac:dyDescent="0.35">
      <c r="A11" s="132"/>
      <c r="B11" s="27"/>
      <c r="D11" s="173"/>
      <c r="E11" s="173"/>
      <c r="F11" s="173"/>
      <c r="G11" s="173"/>
      <c r="H11" s="27"/>
      <c r="I11" s="27"/>
      <c r="J11" s="27"/>
      <c r="K11" s="40"/>
      <c r="L11" s="40" t="s">
        <v>268</v>
      </c>
      <c r="M11" s="60">
        <f>'General Project Info'!K16</f>
        <v>0</v>
      </c>
      <c r="N11" s="27" t="s">
        <v>407</v>
      </c>
      <c r="O11" s="27"/>
      <c r="P11" s="132"/>
    </row>
    <row r="12" spans="1:41" ht="16.5" customHeight="1" x14ac:dyDescent="0.35">
      <c r="A12" s="132"/>
      <c r="B12" s="27"/>
      <c r="C12" s="27"/>
      <c r="D12" s="27"/>
      <c r="E12" s="27"/>
      <c r="F12" s="27"/>
      <c r="G12" s="27"/>
      <c r="H12" s="27"/>
      <c r="I12" s="27"/>
      <c r="J12" s="27"/>
      <c r="K12" s="27"/>
      <c r="L12" s="27"/>
      <c r="M12" s="70" t="s">
        <v>459</v>
      </c>
      <c r="N12" s="27"/>
      <c r="O12" s="27"/>
      <c r="P12" s="132"/>
      <c r="R12" t="s">
        <v>440</v>
      </c>
    </row>
    <row r="13" spans="1:41" ht="31.15" customHeight="1" x14ac:dyDescent="0.35">
      <c r="A13" s="132"/>
      <c r="B13" s="27"/>
      <c r="C13" s="27"/>
      <c r="D13" s="171" t="str">
        <f>IF('Scenarios &amp; Measures'!E11=0, "", 'Scenarios &amp; Measures'!E11)</f>
        <v/>
      </c>
      <c r="E13" s="27"/>
      <c r="F13" s="175" t="str">
        <f>IF('Scenarios &amp; Measures'!E36=0, "", 'Scenarios &amp; Measures'!E36)</f>
        <v/>
      </c>
      <c r="G13" s="176"/>
      <c r="H13" s="27"/>
      <c r="I13" s="175" t="str">
        <f>IF('Scenarios &amp; Measures'!E61=0, "", 'Scenarios &amp; Measures'!E61)</f>
        <v/>
      </c>
      <c r="J13" s="176"/>
      <c r="K13" s="27"/>
      <c r="L13" s="175" t="str">
        <f>IF('Scenarios &amp; Measures'!E86=0, "", 'Scenarios &amp; Measures'!E86)</f>
        <v/>
      </c>
      <c r="M13" s="176"/>
      <c r="N13" s="27"/>
      <c r="O13" s="27"/>
      <c r="P13" s="132"/>
      <c r="R13" t="s">
        <v>439</v>
      </c>
    </row>
    <row r="14" spans="1:41" x14ac:dyDescent="0.35">
      <c r="A14" s="132"/>
      <c r="B14" s="27"/>
      <c r="C14" s="49"/>
      <c r="D14" s="172"/>
      <c r="E14" s="27"/>
      <c r="F14" s="177"/>
      <c r="G14" s="178"/>
      <c r="H14" s="27"/>
      <c r="I14" s="177"/>
      <c r="J14" s="178"/>
      <c r="K14" s="27"/>
      <c r="L14" s="177"/>
      <c r="M14" s="178"/>
      <c r="N14" s="27"/>
      <c r="O14" s="27"/>
      <c r="P14" s="132"/>
    </row>
    <row r="15" spans="1:41" ht="14.9" customHeight="1" x14ac:dyDescent="0.35">
      <c r="A15" s="132"/>
      <c r="B15" s="27"/>
      <c r="C15" s="69" t="s">
        <v>471</v>
      </c>
      <c r="D15" s="58"/>
      <c r="E15" s="27"/>
      <c r="F15" s="58"/>
      <c r="G15" s="66" t="s">
        <v>443</v>
      </c>
      <c r="H15" s="27"/>
      <c r="I15" s="58"/>
      <c r="J15" s="66" t="s">
        <v>443</v>
      </c>
      <c r="K15" s="27"/>
      <c r="L15" s="58"/>
      <c r="M15" s="66" t="s">
        <v>443</v>
      </c>
      <c r="N15" s="27"/>
      <c r="O15" s="27"/>
      <c r="P15" s="132"/>
    </row>
    <row r="16" spans="1:41" ht="17.649999999999999" customHeight="1" x14ac:dyDescent="0.35">
      <c r="A16" s="132"/>
      <c r="B16" s="27"/>
      <c r="C16" s="56" t="s">
        <v>445</v>
      </c>
      <c r="D16" s="75">
        <f>IFERROR(IF('Scenarios &amp; Measures'!$F$30&lt;&gt;0, 'Scenarios &amp; Measures'!$F$30*'Scenarios &amp; Measures'!$AE$11, 'Scenarios &amp; Measures'!$F$29*'Scenarios &amp; Measures'!$AE$11), 0)</f>
        <v>0</v>
      </c>
      <c r="E16" s="76"/>
      <c r="F16" s="75">
        <f>IFERROR(IF('Scenarios &amp; Measures'!$F$55&lt;&gt;0, 'Scenarios &amp; Measures'!$F$55*'Scenarios &amp; Measures'!$AE$36, 'Scenarios &amp; Measures'!$F$54*'Scenarios &amp; Measures'!$AE$36), 0)</f>
        <v>0</v>
      </c>
      <c r="G16" s="120">
        <f t="shared" ref="G16:G22" si="0">F16-$D16</f>
        <v>0</v>
      </c>
      <c r="H16" s="76"/>
      <c r="I16" s="75">
        <f>IFERROR(IF('Scenarios &amp; Measures'!$F$80&lt;&gt;0, 'Scenarios &amp; Measures'!$F$80*'Scenarios &amp; Measures'!$AE$61, 'Scenarios &amp; Measures'!$F$79*'Scenarios &amp; Measures'!$AE$61), 0)</f>
        <v>0</v>
      </c>
      <c r="J16" s="120">
        <f t="shared" ref="J16:J22" si="1">I16-$D16</f>
        <v>0</v>
      </c>
      <c r="K16" s="76"/>
      <c r="L16" s="75">
        <f>IFERROR(IF('Scenarios &amp; Measures'!$F$105&lt;&gt;0, 'Scenarios &amp; Measures'!$F$105*'Scenarios &amp; Measures'!$AE$86, 'Scenarios &amp; Measures'!$F$104*'Scenarios &amp; Measures'!$AE$86), 0)</f>
        <v>0</v>
      </c>
      <c r="M16" s="120">
        <f>L16-$D16</f>
        <v>0</v>
      </c>
      <c r="N16" s="27" t="s">
        <v>35</v>
      </c>
      <c r="O16" s="27"/>
      <c r="P16" s="132"/>
    </row>
    <row r="17" spans="1:16" ht="17.649999999999999" customHeight="1" x14ac:dyDescent="0.35">
      <c r="A17" s="132"/>
      <c r="B17" s="27"/>
      <c r="C17" s="56" t="s">
        <v>446</v>
      </c>
      <c r="D17" s="75">
        <f>IFERROR(IF('Scenarios &amp; Measures'!$F$30&lt;&gt;0, 'Scenarios &amp; Measures'!$F$30*(1-'Scenarios &amp; Measures'!$AE$11), 'Scenarios &amp; Measures'!$F$29*(1-'Scenarios &amp; Measures'!$AE$11)), 0)</f>
        <v>1067555.6858147713</v>
      </c>
      <c r="E17" s="76"/>
      <c r="F17" s="75">
        <f>IFERROR(IF('Scenarios &amp; Measures'!$F$55&lt;&gt;0, 'Scenarios &amp; Measures'!$F$55*(1-'Scenarios &amp; Measures'!$AE$36), 'Scenarios &amp; Measures'!$F$54*(1-'Scenarios &amp; Measures'!$AE$36)), 0)</f>
        <v>0</v>
      </c>
      <c r="G17" s="120">
        <f t="shared" si="0"/>
        <v>-1067555.6858147713</v>
      </c>
      <c r="H17" s="76"/>
      <c r="I17" s="75">
        <f>IFERROR(IF('Scenarios &amp; Measures'!$F$80&lt;&gt;0, 'Scenarios &amp; Measures'!$F$80*(1-'Scenarios &amp; Measures'!$AE$61), 'Scenarios &amp; Measures'!$F$79*(1-'Scenarios &amp; Measures'!$AE$61)), 0)</f>
        <v>0</v>
      </c>
      <c r="J17" s="120">
        <f t="shared" si="1"/>
        <v>-1067555.6858147713</v>
      </c>
      <c r="K17" s="76"/>
      <c r="L17" s="75">
        <f>IFERROR(IF('Scenarios &amp; Measures'!$F$105&lt;&gt;0, 'Scenarios &amp; Measures'!$F$105*(1-'Scenarios &amp; Measures'!$AE$86), 'Scenarios &amp; Measures'!$F$104*(1-'Scenarios &amp; Measures'!$AE$86)), 0)</f>
        <v>0</v>
      </c>
      <c r="M17" s="120">
        <f t="shared" ref="M17:M19" si="2">L17-$D17</f>
        <v>-1067555.6858147713</v>
      </c>
      <c r="N17" s="27" t="s">
        <v>35</v>
      </c>
      <c r="O17" s="27"/>
      <c r="P17" s="132"/>
    </row>
    <row r="18" spans="1:16" ht="17.649999999999999" customHeight="1" x14ac:dyDescent="0.35">
      <c r="A18" s="132"/>
      <c r="B18" s="27"/>
      <c r="C18" s="56" t="s">
        <v>447</v>
      </c>
      <c r="D18" s="75">
        <f>D16+D17</f>
        <v>1067555.6858147713</v>
      </c>
      <c r="E18" s="76"/>
      <c r="F18" s="75">
        <f>F16+F17</f>
        <v>0</v>
      </c>
      <c r="G18" s="120">
        <f t="shared" si="0"/>
        <v>-1067555.6858147713</v>
      </c>
      <c r="H18" s="76"/>
      <c r="I18" s="75">
        <f>I16+I17</f>
        <v>0</v>
      </c>
      <c r="J18" s="120">
        <f t="shared" si="1"/>
        <v>-1067555.6858147713</v>
      </c>
      <c r="K18" s="76"/>
      <c r="L18" s="75">
        <f>L16+L17</f>
        <v>0</v>
      </c>
      <c r="M18" s="120">
        <f t="shared" si="2"/>
        <v>-1067555.6858147713</v>
      </c>
      <c r="N18" s="27" t="s">
        <v>35</v>
      </c>
      <c r="O18" s="27"/>
      <c r="P18" s="132"/>
    </row>
    <row r="19" spans="1:16" ht="17.649999999999999" customHeight="1" x14ac:dyDescent="0.35">
      <c r="A19" s="132"/>
      <c r="B19" s="27"/>
      <c r="C19" s="68" t="s">
        <v>412</v>
      </c>
      <c r="D19" s="77">
        <f>IFERROR(D18/$M$11, 0)</f>
        <v>0</v>
      </c>
      <c r="E19" s="78"/>
      <c r="F19" s="77">
        <f>IFERROR(F18/$M$11, 0)</f>
        <v>0</v>
      </c>
      <c r="G19" s="121">
        <f t="shared" si="0"/>
        <v>0</v>
      </c>
      <c r="H19" s="78"/>
      <c r="I19" s="77">
        <f>IFERROR(I18/$M$11, 0)</f>
        <v>0</v>
      </c>
      <c r="J19" s="121">
        <f t="shared" si="1"/>
        <v>0</v>
      </c>
      <c r="K19" s="78"/>
      <c r="L19" s="77">
        <f>IFERROR(L18/$M$11, 0)</f>
        <v>0</v>
      </c>
      <c r="M19" s="121">
        <f t="shared" si="2"/>
        <v>0</v>
      </c>
      <c r="N19" s="28" t="s">
        <v>457</v>
      </c>
      <c r="O19" s="27"/>
      <c r="P19" s="132"/>
    </row>
    <row r="20" spans="1:16" ht="17.649999999999999" customHeight="1" x14ac:dyDescent="0.45">
      <c r="A20" s="132"/>
      <c r="B20" s="27"/>
      <c r="C20" s="56" t="s">
        <v>448</v>
      </c>
      <c r="D20" s="75">
        <f>IF('Scenarios &amp; Measures'!$I$30&lt;&gt;0, 'Scenarios &amp; Measures'!$I$30/1000, 'Scenarios &amp; Measures'!$I$29/1000)</f>
        <v>0</v>
      </c>
      <c r="E20" s="76"/>
      <c r="F20" s="75">
        <f>IF('Scenarios &amp; Measures'!$I$55&lt;&gt;0, 'Scenarios &amp; Measures'!$I$55/1000, 'Scenarios &amp; Measures'!$I$54/1000)</f>
        <v>0</v>
      </c>
      <c r="G20" s="120">
        <f t="shared" si="0"/>
        <v>0</v>
      </c>
      <c r="H20" s="76"/>
      <c r="I20" s="75">
        <f>IF('Scenarios &amp; Measures'!$I$80&lt;&gt;0, 'Scenarios &amp; Measures'!$I$80/1000, 'Scenarios &amp; Measures'!$I$79/1000)</f>
        <v>0</v>
      </c>
      <c r="J20" s="120">
        <f t="shared" si="1"/>
        <v>0</v>
      </c>
      <c r="K20" s="76"/>
      <c r="L20" s="75">
        <f>IF('Scenarios &amp; Measures'!$I$105&lt;&gt;0, 'Scenarios &amp; Measures'!$I$105/1000, 'Scenarios &amp; Measures'!$I$104/1000)</f>
        <v>0</v>
      </c>
      <c r="M20" s="120">
        <f>L20-$D20</f>
        <v>0</v>
      </c>
      <c r="N20" s="27" t="s">
        <v>408</v>
      </c>
      <c r="O20" s="27"/>
      <c r="P20" s="132"/>
    </row>
    <row r="21" spans="1:16" ht="17.649999999999999" customHeight="1" x14ac:dyDescent="0.45">
      <c r="A21" s="132"/>
      <c r="B21" s="27"/>
      <c r="C21" s="56" t="s">
        <v>449</v>
      </c>
      <c r="D21" s="75">
        <f>IF('Scenarios &amp; Measures'!$J$30&lt;&gt;0, 'Scenarios &amp; Measures'!$J$30/1000, 'Scenarios &amp; Measures'!$J$29/1000)</f>
        <v>189.92765758218221</v>
      </c>
      <c r="E21" s="76"/>
      <c r="F21" s="75">
        <f>IF('Scenarios &amp; Measures'!$J$55&lt;&gt;0, 'Scenarios &amp; Measures'!$J$55/1000, 'Scenarios &amp; Measures'!$J$54/1000)</f>
        <v>0</v>
      </c>
      <c r="G21" s="120">
        <f t="shared" si="0"/>
        <v>-189.92765758218221</v>
      </c>
      <c r="H21" s="76"/>
      <c r="I21" s="75">
        <f>IF('Scenarios &amp; Measures'!$J$80&lt;&gt;0, 'Scenarios &amp; Measures'!$J$80/1000, 'Scenarios &amp; Measures'!$J$79/1000)</f>
        <v>0</v>
      </c>
      <c r="J21" s="120">
        <f t="shared" si="1"/>
        <v>-189.92765758218221</v>
      </c>
      <c r="K21" s="76"/>
      <c r="L21" s="75">
        <f>IF('Scenarios &amp; Measures'!$J$105&lt;&gt;0, 'Scenarios &amp; Measures'!$J$105/1000, 'Scenarios &amp; Measures'!$J$104/1000)</f>
        <v>0</v>
      </c>
      <c r="M21" s="120">
        <f t="shared" ref="M21" si="3">L21-$D21</f>
        <v>-189.92765758218221</v>
      </c>
      <c r="N21" s="27" t="s">
        <v>408</v>
      </c>
      <c r="O21" s="27"/>
      <c r="P21" s="132"/>
    </row>
    <row r="22" spans="1:16" ht="17.649999999999999" customHeight="1" x14ac:dyDescent="0.45">
      <c r="A22" s="132"/>
      <c r="B22" s="27"/>
      <c r="C22" s="56" t="s">
        <v>450</v>
      </c>
      <c r="D22" s="75">
        <f>D20+D21</f>
        <v>189.92765758218221</v>
      </c>
      <c r="E22" s="76"/>
      <c r="F22" s="75">
        <f>F20+F21</f>
        <v>0</v>
      </c>
      <c r="G22" s="120">
        <f t="shared" si="0"/>
        <v>-189.92765758218221</v>
      </c>
      <c r="H22" s="76"/>
      <c r="I22" s="75">
        <f>I20+I21</f>
        <v>0</v>
      </c>
      <c r="J22" s="120">
        <f t="shared" si="1"/>
        <v>-189.92765758218221</v>
      </c>
      <c r="K22" s="76"/>
      <c r="L22" s="75">
        <f>L20+L21</f>
        <v>0</v>
      </c>
      <c r="M22" s="120">
        <f>L22-$D22</f>
        <v>-189.92765758218221</v>
      </c>
      <c r="N22" s="27" t="s">
        <v>408</v>
      </c>
      <c r="O22" s="27"/>
      <c r="P22" s="132"/>
    </row>
    <row r="23" spans="1:16" ht="17.649999999999999" customHeight="1" x14ac:dyDescent="0.45">
      <c r="A23" s="132"/>
      <c r="B23" s="27"/>
      <c r="C23" s="68" t="s">
        <v>415</v>
      </c>
      <c r="D23" s="77" t="str">
        <f>IFERROR(D22*1000/$M$11, "")</f>
        <v/>
      </c>
      <c r="E23" s="78"/>
      <c r="F23" s="77" t="str">
        <f>IFERROR(F22*1000/$M$11, "")</f>
        <v/>
      </c>
      <c r="G23" s="121">
        <f>IFERROR(F23-$D23, 0)</f>
        <v>0</v>
      </c>
      <c r="H23" s="78"/>
      <c r="I23" s="77" t="str">
        <f>IFERROR(I22*1000/$M$11, "")</f>
        <v/>
      </c>
      <c r="J23" s="121">
        <f>IFERROR(I23-$D23, 0)</f>
        <v>0</v>
      </c>
      <c r="K23" s="78"/>
      <c r="L23" s="77" t="str">
        <f>IFERROR(L22*1000/$M$11, "")</f>
        <v/>
      </c>
      <c r="M23" s="121">
        <f>IFERROR(L23-$D23, 0)</f>
        <v>0</v>
      </c>
      <c r="N23" s="28" t="s">
        <v>464</v>
      </c>
      <c r="O23" s="27"/>
      <c r="P23" s="132"/>
    </row>
    <row r="24" spans="1:16" ht="17.649999999999999" hidden="1" customHeight="1" x14ac:dyDescent="0.35">
      <c r="A24" s="136" t="s">
        <v>437</v>
      </c>
      <c r="B24" s="27"/>
      <c r="C24" s="56" t="s">
        <v>413</v>
      </c>
      <c r="D24" s="75">
        <f>D16*$M$10</f>
        <v>0</v>
      </c>
      <c r="E24" s="76"/>
      <c r="F24" s="75">
        <f>F16*$M$10</f>
        <v>0</v>
      </c>
      <c r="G24" s="120">
        <f t="shared" ref="G24:G29" si="4">F24-$D24</f>
        <v>0</v>
      </c>
      <c r="H24" s="76"/>
      <c r="I24" s="75">
        <f>I16*$M$10</f>
        <v>0</v>
      </c>
      <c r="J24" s="120">
        <f t="shared" ref="J24:J29" si="5">I24-$D24</f>
        <v>0</v>
      </c>
      <c r="K24" s="76"/>
      <c r="L24" s="75">
        <f>L16*$M$10</f>
        <v>0</v>
      </c>
      <c r="M24" s="120">
        <f t="shared" ref="M24:M26" si="6">L24-$D24</f>
        <v>0</v>
      </c>
      <c r="N24" s="27" t="s">
        <v>35</v>
      </c>
      <c r="O24" s="27"/>
      <c r="P24" s="132"/>
    </row>
    <row r="25" spans="1:16" ht="17.649999999999999" hidden="1" customHeight="1" x14ac:dyDescent="0.35">
      <c r="A25" s="136" t="s">
        <v>437</v>
      </c>
      <c r="B25" s="27"/>
      <c r="C25" s="56" t="s">
        <v>414</v>
      </c>
      <c r="D25" s="75">
        <f>D17*$M$10</f>
        <v>21351113.716295429</v>
      </c>
      <c r="E25" s="76"/>
      <c r="F25" s="75">
        <f>F17*$M$10</f>
        <v>0</v>
      </c>
      <c r="G25" s="120">
        <f t="shared" si="4"/>
        <v>-21351113.716295429</v>
      </c>
      <c r="H25" s="76"/>
      <c r="I25" s="75">
        <f>I17*$M$10</f>
        <v>0</v>
      </c>
      <c r="J25" s="120">
        <f t="shared" si="5"/>
        <v>-21351113.716295429</v>
      </c>
      <c r="K25" s="76"/>
      <c r="L25" s="75">
        <f>L17*$M$10</f>
        <v>0</v>
      </c>
      <c r="M25" s="120">
        <f t="shared" si="6"/>
        <v>-21351113.716295429</v>
      </c>
      <c r="N25" s="27" t="s">
        <v>35</v>
      </c>
      <c r="O25" s="27"/>
      <c r="P25" s="132"/>
    </row>
    <row r="26" spans="1:16" ht="17.649999999999999" customHeight="1" x14ac:dyDescent="0.35">
      <c r="A26" s="132"/>
      <c r="B26" s="27"/>
      <c r="C26" s="56" t="s">
        <v>451</v>
      </c>
      <c r="D26" s="75">
        <f>D24+D25</f>
        <v>21351113.716295429</v>
      </c>
      <c r="E26" s="76"/>
      <c r="F26" s="75">
        <f>F24+F25</f>
        <v>0</v>
      </c>
      <c r="G26" s="120">
        <f t="shared" si="4"/>
        <v>-21351113.716295429</v>
      </c>
      <c r="H26" s="76"/>
      <c r="I26" s="75">
        <f>I24+I25</f>
        <v>0</v>
      </c>
      <c r="J26" s="120">
        <f t="shared" si="5"/>
        <v>-21351113.716295429</v>
      </c>
      <c r="K26" s="76"/>
      <c r="L26" s="75">
        <f>L24+L25</f>
        <v>0</v>
      </c>
      <c r="M26" s="120">
        <f t="shared" si="6"/>
        <v>-21351113.716295429</v>
      </c>
      <c r="N26" s="27" t="s">
        <v>35</v>
      </c>
      <c r="O26" s="27"/>
      <c r="P26" s="132"/>
    </row>
    <row r="27" spans="1:16" ht="17.649999999999999" hidden="1" customHeight="1" x14ac:dyDescent="0.45">
      <c r="A27" s="136" t="s">
        <v>437</v>
      </c>
      <c r="B27" s="27"/>
      <c r="C27" s="56" t="s">
        <v>416</v>
      </c>
      <c r="D27" s="79">
        <f>D20*$M$10</f>
        <v>0</v>
      </c>
      <c r="E27" s="80"/>
      <c r="F27" s="79">
        <f>F20*$M$10</f>
        <v>0</v>
      </c>
      <c r="G27" s="120">
        <f t="shared" si="4"/>
        <v>0</v>
      </c>
      <c r="H27" s="80"/>
      <c r="I27" s="79">
        <f>I20*$M$10</f>
        <v>0</v>
      </c>
      <c r="J27" s="120">
        <f t="shared" si="5"/>
        <v>0</v>
      </c>
      <c r="K27" s="80"/>
      <c r="L27" s="79">
        <f>L20*$M$10</f>
        <v>0</v>
      </c>
      <c r="M27" s="120">
        <f t="shared" ref="M27:M29" si="7">L27-$D27</f>
        <v>0</v>
      </c>
      <c r="N27" s="27" t="s">
        <v>408</v>
      </c>
      <c r="O27" s="27"/>
      <c r="P27" s="132"/>
    </row>
    <row r="28" spans="1:16" ht="17.649999999999999" hidden="1" customHeight="1" x14ac:dyDescent="0.45">
      <c r="A28" s="136" t="s">
        <v>437</v>
      </c>
      <c r="B28" s="27"/>
      <c r="C28" s="56" t="s">
        <v>417</v>
      </c>
      <c r="D28" s="79">
        <f>D21*$M$10</f>
        <v>3798.553151643644</v>
      </c>
      <c r="E28" s="80"/>
      <c r="F28" s="79">
        <f>F21*$M$10</f>
        <v>0</v>
      </c>
      <c r="G28" s="120">
        <f t="shared" si="4"/>
        <v>-3798.553151643644</v>
      </c>
      <c r="H28" s="80"/>
      <c r="I28" s="79">
        <f>I21*$M$10</f>
        <v>0</v>
      </c>
      <c r="J28" s="120">
        <f t="shared" si="5"/>
        <v>-3798.553151643644</v>
      </c>
      <c r="K28" s="80"/>
      <c r="L28" s="79">
        <f>L21*$M$10</f>
        <v>0</v>
      </c>
      <c r="M28" s="120">
        <f t="shared" si="7"/>
        <v>-3798.553151643644</v>
      </c>
      <c r="N28" s="27" t="s">
        <v>408</v>
      </c>
      <c r="O28" s="27"/>
      <c r="P28" s="132"/>
    </row>
    <row r="29" spans="1:16" ht="17.649999999999999" customHeight="1" x14ac:dyDescent="0.45">
      <c r="A29" s="132"/>
      <c r="B29" s="27"/>
      <c r="C29" s="56" t="s">
        <v>444</v>
      </c>
      <c r="D29" s="75">
        <f>D27+D28</f>
        <v>3798.553151643644</v>
      </c>
      <c r="E29" s="76"/>
      <c r="F29" s="75">
        <f>F27+F28</f>
        <v>0</v>
      </c>
      <c r="G29" s="120">
        <f t="shared" si="4"/>
        <v>-3798.553151643644</v>
      </c>
      <c r="H29" s="76"/>
      <c r="I29" s="75">
        <f>I27+I28</f>
        <v>0</v>
      </c>
      <c r="J29" s="120">
        <f t="shared" si="5"/>
        <v>-3798.553151643644</v>
      </c>
      <c r="K29" s="76"/>
      <c r="L29" s="75">
        <f>L27+L28</f>
        <v>0</v>
      </c>
      <c r="M29" s="120">
        <f t="shared" si="7"/>
        <v>-3798.553151643644</v>
      </c>
      <c r="N29" s="27" t="s">
        <v>408</v>
      </c>
      <c r="O29" s="27"/>
      <c r="P29" s="132"/>
    </row>
    <row r="30" spans="1:16" ht="17.25" customHeight="1" x14ac:dyDescent="0.35">
      <c r="A30" s="132"/>
      <c r="B30" s="27"/>
      <c r="C30" s="69" t="s">
        <v>472</v>
      </c>
      <c r="D30" s="81"/>
      <c r="E30" s="82"/>
      <c r="F30" s="81"/>
      <c r="G30" s="81"/>
      <c r="H30" s="82"/>
      <c r="I30" s="81"/>
      <c r="J30" s="81"/>
      <c r="K30" s="82"/>
      <c r="L30" s="81"/>
      <c r="M30" s="81"/>
      <c r="N30" s="27"/>
      <c r="O30" s="27"/>
      <c r="P30" s="132"/>
    </row>
    <row r="31" spans="1:16" ht="14.65" hidden="1" customHeight="1" x14ac:dyDescent="0.35">
      <c r="A31" s="132" t="s">
        <v>312</v>
      </c>
      <c r="B31" s="27"/>
      <c r="C31" s="56" t="s">
        <v>270</v>
      </c>
      <c r="D31" s="83">
        <f>IF('Scenarios &amp; Measures'!$H$30&gt;0, 'Scenarios &amp; Measures'!$H$30*SUMIF('Scenarios &amp; Measures'!$T$14:$T$27, "Yes", 'Scenarios &amp; Measures'!$V$14:$V$27)/'Scenarios &amp; Measures'!$X$10/'Scenarios &amp; Measures'!$H$29, SUMIF('Scenarios &amp; Measures'!$T$14:$T$27, "Yes", 'Scenarios &amp; Measures'!$V$14:$V$27)/'Scenarios &amp; Measures'!$X$10)</f>
        <v>0</v>
      </c>
      <c r="E31" s="84"/>
      <c r="F31" s="83">
        <f>IF('Scenarios &amp; Measures'!$H$55&gt;0, 'Scenarios &amp; Measures'!$H$55*SUMIF('Scenarios &amp; Measures'!$T$39:$T$52, "Yes", 'Scenarios &amp; Measures'!$V$39:$V$52)/'Scenarios &amp; Measures'!$X$10/'Scenarios &amp; Measures'!$H$54, SUMIF('Scenarios &amp; Measures'!$T$39:$T$52, "Yes", 'Scenarios &amp; Measures'!$V$39:$V$52)/'Scenarios &amp; Measures'!$X$10)</f>
        <v>0</v>
      </c>
      <c r="G31" s="83">
        <f t="shared" ref="G31:G49" si="8">F31-$D31</f>
        <v>0</v>
      </c>
      <c r="H31" s="84"/>
      <c r="I31" s="83">
        <f>IF('Scenarios &amp; Measures'!$H$80&gt;0, 'Scenarios &amp; Measures'!$H$80*SUMIF('Scenarios &amp; Measures'!$T$64:$T$77, "Yes", 'Scenarios &amp; Measures'!$V$64:$V$77)/'Scenarios &amp; Measures'!$X$10/'Scenarios &amp; Measures'!$H$79, SUMIF('Scenarios &amp; Measures'!$T$64:$T$77, "Yes", 'Scenarios &amp; Measures'!$V$64:$V$77)/'Scenarios &amp; Measures'!$X$10)</f>
        <v>0</v>
      </c>
      <c r="J31" s="83">
        <f t="shared" ref="J31:J49" si="9">I31-$D31</f>
        <v>0</v>
      </c>
      <c r="K31" s="84"/>
      <c r="L31" s="83">
        <f>IF('Scenarios &amp; Measures'!$H$105&gt;0, 'Scenarios &amp; Measures'!$H$105*SUMIF('Scenarios &amp; Measures'!$T$89:$T$102, "Yes", 'Scenarios &amp; Measures'!$V$89:$V$102)/'Scenarios &amp; Measures'!$X$10/'Scenarios &amp; Measures'!$H$104, SUMIF('Scenarios &amp; Measures'!$T$89:$T$102, "Yes", 'Scenarios &amp; Measures'!$V$89:$V$102)/'Scenarios &amp; Measures'!$X$10)</f>
        <v>0</v>
      </c>
      <c r="M31" s="83">
        <f>L31-$D31</f>
        <v>0</v>
      </c>
      <c r="N31" s="27" t="s">
        <v>13</v>
      </c>
      <c r="O31" s="27"/>
      <c r="P31" s="132"/>
    </row>
    <row r="32" spans="1:16" ht="14.65" hidden="1" customHeight="1" x14ac:dyDescent="0.35">
      <c r="A32" s="132" t="s">
        <v>312</v>
      </c>
      <c r="B32" s="27"/>
      <c r="C32" s="56" t="s">
        <v>271</v>
      </c>
      <c r="D32" s="83">
        <f>IF('Scenarios &amp; Measures'!$H$30&gt;0, SUMIF('Scenarios &amp; Measures'!$T$14:$T$27, "No", 'Scenarios &amp; Measures'!$V$14:$V$27)/'Scenarios &amp; Measures'!$X$10/'Scenarios &amp; Measures'!$H$29, SUMIF('Scenarios &amp; Measures'!$T$14:$T$27, "No", 'Scenarios &amp; Measures'!$V$14:$V$27)/'Scenarios &amp; Measures'!$X$10)</f>
        <v>23044.704130560352</v>
      </c>
      <c r="E32" s="84"/>
      <c r="F32" s="83">
        <f>IF('Scenarios &amp; Measures'!$H$55&gt;0, SUMIF('Scenarios &amp; Measures'!$T$39:$T$52, "No", 'Scenarios &amp; Measures'!$V$39:$V$52)/'Scenarios &amp; Measures'!$X$10/'Scenarios &amp; Measures'!$H$54, SUMIF('Scenarios &amp; Measures'!$T$39:$T$52, "No", 'Scenarios &amp; Measures'!$V$39:$V$52)/'Scenarios &amp; Measures'!$X$10)</f>
        <v>0</v>
      </c>
      <c r="G32" s="83">
        <f t="shared" si="8"/>
        <v>-23044.704130560352</v>
      </c>
      <c r="H32" s="84"/>
      <c r="I32" s="83">
        <f>IF('Scenarios &amp; Measures'!$H$80&gt;0, SUMIF('Scenarios &amp; Measures'!$T$64:$T$77, "No", 'Scenarios &amp; Measures'!$V$64:$V$77)/'Scenarios &amp; Measures'!$X$10/'Scenarios &amp; Measures'!$H$79, SUMIF('Scenarios &amp; Measures'!$T$64:$T$77, "No", 'Scenarios &amp; Measures'!$V$64:$V$77)/'Scenarios &amp; Measures'!$X$10)</f>
        <v>0</v>
      </c>
      <c r="J32" s="83">
        <f t="shared" si="9"/>
        <v>-23044.704130560352</v>
      </c>
      <c r="K32" s="84"/>
      <c r="L32" s="83">
        <f>IF('Scenarios &amp; Measures'!$H$105&gt;0, SUMIF('Scenarios &amp; Measures'!$T$89:$T$102, "No", 'Scenarios &amp; Measures'!$V$89:$V$102)/'Scenarios &amp; Measures'!$X$10/'Scenarios &amp; Measures'!$H$104, SUMIF('Scenarios &amp; Measures'!$T$89:$T$102, "No", 'Scenarios &amp; Measures'!$V$89:$V$102)/'Scenarios &amp; Measures'!$X$10)</f>
        <v>0</v>
      </c>
      <c r="M32" s="83">
        <f t="shared" ref="M32:M35" si="10">L32-$D32</f>
        <v>-23044.704130560352</v>
      </c>
      <c r="N32" s="27" t="s">
        <v>13</v>
      </c>
      <c r="O32" s="27"/>
      <c r="P32" s="132"/>
    </row>
    <row r="33" spans="1:16" ht="17.25" hidden="1" customHeight="1" x14ac:dyDescent="0.35">
      <c r="A33" s="132"/>
      <c r="B33" s="27"/>
      <c r="C33" s="56" t="s">
        <v>383</v>
      </c>
      <c r="D33" s="83">
        <f>D31+D32</f>
        <v>23044.704130560352</v>
      </c>
      <c r="E33" s="84"/>
      <c r="F33" s="83">
        <f>F31+F32</f>
        <v>0</v>
      </c>
      <c r="G33" s="83">
        <f t="shared" si="8"/>
        <v>-23044.704130560352</v>
      </c>
      <c r="H33" s="84"/>
      <c r="I33" s="83">
        <f>I31+I32</f>
        <v>0</v>
      </c>
      <c r="J33" s="83">
        <f t="shared" si="9"/>
        <v>-23044.704130560352</v>
      </c>
      <c r="K33" s="84"/>
      <c r="L33" s="83">
        <f>L31+L32</f>
        <v>0</v>
      </c>
      <c r="M33" s="83">
        <f t="shared" si="10"/>
        <v>-23044.704130560352</v>
      </c>
      <c r="N33" s="27" t="s">
        <v>13</v>
      </c>
      <c r="O33" s="27"/>
      <c r="P33" s="132"/>
    </row>
    <row r="34" spans="1:16" ht="17.649999999999999" customHeight="1" x14ac:dyDescent="0.35">
      <c r="A34" s="132"/>
      <c r="B34" s="27"/>
      <c r="C34" s="56" t="s">
        <v>3</v>
      </c>
      <c r="D34" s="85">
        <f>IF('Scenarios &amp; Measures'!$H$30&lt;&gt;0, 'Scenarios &amp; Measures'!$H$30, 'Scenarios &amp; Measures'!$H$29)</f>
        <v>26000</v>
      </c>
      <c r="E34" s="84"/>
      <c r="F34" s="85">
        <f>IF('Scenarios &amp; Measures'!$H$55&lt;&gt;0, 'Scenarios &amp; Measures'!$H$55, 'Scenarios &amp; Measures'!$H$54)</f>
        <v>0</v>
      </c>
      <c r="G34" s="122">
        <f t="shared" si="8"/>
        <v>-26000</v>
      </c>
      <c r="H34" s="84"/>
      <c r="I34" s="85">
        <f>IF('Scenarios &amp; Measures'!$H$80&lt;&gt;0, 'Scenarios &amp; Measures'!$H$80, 'Scenarios &amp; Measures'!$H$79)</f>
        <v>0</v>
      </c>
      <c r="J34" s="122">
        <f t="shared" si="9"/>
        <v>-26000</v>
      </c>
      <c r="K34" s="84"/>
      <c r="L34" s="85">
        <f>IF('Scenarios &amp; Measures'!$H$105&lt;&gt;0, 'Scenarios &amp; Measures'!$H$105, 'Scenarios &amp; Measures'!$H$104)</f>
        <v>0</v>
      </c>
      <c r="M34" s="122">
        <f t="shared" si="10"/>
        <v>-26000</v>
      </c>
      <c r="N34" s="27" t="s">
        <v>458</v>
      </c>
      <c r="O34" s="27"/>
      <c r="P34" s="132"/>
    </row>
    <row r="35" spans="1:16" ht="17.649999999999999" hidden="1" customHeight="1" x14ac:dyDescent="0.35">
      <c r="A35" s="136" t="s">
        <v>437</v>
      </c>
      <c r="B35" s="27"/>
      <c r="C35" s="56" t="s">
        <v>418</v>
      </c>
      <c r="D35" s="87" t="e">
        <f>D33/$M$11</f>
        <v>#DIV/0!</v>
      </c>
      <c r="E35" s="88"/>
      <c r="F35" s="87" t="e">
        <f>F33/$M$11</f>
        <v>#DIV/0!</v>
      </c>
      <c r="G35" s="89" t="e">
        <f t="shared" si="8"/>
        <v>#DIV/0!</v>
      </c>
      <c r="H35" s="88"/>
      <c r="I35" s="87" t="e">
        <f>I33/$M$11</f>
        <v>#DIV/0!</v>
      </c>
      <c r="J35" s="89" t="e">
        <f t="shared" si="9"/>
        <v>#DIV/0!</v>
      </c>
      <c r="K35" s="88"/>
      <c r="L35" s="87" t="e">
        <f>L33/$M$11</f>
        <v>#DIV/0!</v>
      </c>
      <c r="M35" s="89" t="e">
        <f t="shared" si="10"/>
        <v>#DIV/0!</v>
      </c>
      <c r="N35" s="27" t="s">
        <v>409</v>
      </c>
      <c r="O35" s="27"/>
      <c r="P35" s="132"/>
    </row>
    <row r="36" spans="1:16" ht="17.649999999999999" hidden="1" customHeight="1" x14ac:dyDescent="0.35">
      <c r="A36" s="132" t="s">
        <v>312</v>
      </c>
      <c r="B36" s="27"/>
      <c r="C36" s="56" t="s">
        <v>272</v>
      </c>
      <c r="D36" s="85">
        <f>IF('Scenarios &amp; Measures'!$I$30&gt;0, (SUM('Scenarios &amp; Measures'!$AF$14:$AF$27)/'Scenarios &amp; Measures'!$I$29*'Scenarios &amp; Measures'!$I$30)/'Scenarios &amp; Measures'!$X$10, SUM('Scenarios &amp; Measures'!$AF$14:$AF$27)/'Scenarios &amp; Measures'!$X$10)</f>
        <v>0</v>
      </c>
      <c r="E36" s="84"/>
      <c r="F36" s="85">
        <f>IF('Scenarios &amp; Measures'!$I$55&lt;&gt;0, (SUM('Scenarios &amp; Measures'!$AF$39:$AF$52)/'Scenarios &amp; Measures'!$I$54*'Scenarios &amp; Measures'!$I$55)/'Scenarios &amp; Measures'!$X$10, SUM('Scenarios &amp; Measures'!$AF$39:$AF$52)/'Scenarios &amp; Measures'!$X$10)</f>
        <v>0</v>
      </c>
      <c r="G36" s="86">
        <f t="shared" si="8"/>
        <v>0</v>
      </c>
      <c r="H36" s="84"/>
      <c r="I36" s="85">
        <f>IF('Scenarios &amp; Measures'!$I$80&lt;&gt;0, (SUM('Scenarios &amp; Measures'!$AF$64:$AF$77)/'Scenarios &amp; Measures'!$I$79*'Scenarios &amp; Measures'!$I$80)/'Scenarios &amp; Measures'!$X$10, SUM('Scenarios &amp; Measures'!$AF$64:$AF$77)/'Scenarios &amp; Measures'!$X$10)</f>
        <v>0</v>
      </c>
      <c r="J36" s="86">
        <f t="shared" si="9"/>
        <v>0</v>
      </c>
      <c r="K36" s="84"/>
      <c r="L36" s="85">
        <f>IF('Scenarios &amp; Measures'!$I$105&lt;&gt;0, (SUM('Scenarios &amp; Measures'!$AF$89:$AF$102)/'Scenarios &amp; Measures'!$I$104*'Scenarios &amp; Measures'!$I$105)/'Scenarios &amp; Measures'!$X$10, SUM('Scenarios &amp; Measures'!$AF$89:$AF$102)/'Scenarios &amp; Measures'!$X$10)</f>
        <v>0</v>
      </c>
      <c r="M36" s="86">
        <f>L36-$D36</f>
        <v>0</v>
      </c>
      <c r="N36" s="27" t="s">
        <v>13</v>
      </c>
      <c r="O36" s="27"/>
      <c r="P36" s="132"/>
    </row>
    <row r="37" spans="1:16" ht="17.649999999999999" hidden="1" customHeight="1" x14ac:dyDescent="0.35">
      <c r="A37" s="132" t="s">
        <v>312</v>
      </c>
      <c r="B37" s="27"/>
      <c r="C37" s="56" t="s">
        <v>273</v>
      </c>
      <c r="D37" s="85">
        <f>IF('Scenarios &amp; Measures'!$J$30&gt;0, (SUM('Scenarios &amp; Measures'!$AG$14:$AG$27)/'Scenarios &amp; Measures'!$J$29*'Scenarios &amp; Measures'!$J$30)/'Scenarios &amp; Measures'!$X$10, SUM('Scenarios &amp; Measures'!$AG$14:$AG$27)/'Scenarios &amp; Measures'!$X$10)</f>
        <v>6191.4337306516209</v>
      </c>
      <c r="E37" s="84"/>
      <c r="F37" s="85">
        <f>IF('Scenarios &amp; Measures'!$J$55&lt;&gt;0, (SUM('Scenarios &amp; Measures'!$AG$39:$AG$52)/'Scenarios &amp; Measures'!$J$54*'Scenarios &amp; Measures'!$J$55)/'Scenarios &amp; Measures'!$X$10, SUM('Scenarios &amp; Measures'!$AG$39:$AG$52)/'Scenarios &amp; Measures'!$X$10)</f>
        <v>0</v>
      </c>
      <c r="G37" s="86">
        <f t="shared" si="8"/>
        <v>-6191.4337306516209</v>
      </c>
      <c r="H37" s="84"/>
      <c r="I37" s="85">
        <f>IF('Scenarios &amp; Measures'!$J$80&lt;&gt;0, (SUM('Scenarios &amp; Measures'!$AG$64:$AG$77)/'Scenarios &amp; Measures'!$J$79*'Scenarios &amp; Measures'!$J$80)/'Scenarios &amp; Measures'!$X$10, SUM('Scenarios &amp; Measures'!$AG$64:$AG$77)/'Scenarios &amp; Measures'!$X$10)</f>
        <v>0</v>
      </c>
      <c r="J37" s="86">
        <f t="shared" si="9"/>
        <v>-6191.4337306516209</v>
      </c>
      <c r="K37" s="84"/>
      <c r="L37" s="85">
        <f>IF('Scenarios &amp; Measures'!$J$105&lt;&gt;0, (SUM('Scenarios &amp; Measures'!$AG$89:$AG$102)/'Scenarios &amp; Measures'!$J$104*'Scenarios &amp; Measures'!$J$105)/'Scenarios &amp; Measures'!$X$10, SUM('Scenarios &amp; Measures'!$AG$89:$AG$102)/'Scenarios &amp; Measures'!$X$10)</f>
        <v>0</v>
      </c>
      <c r="M37" s="86">
        <f t="shared" ref="M37:M40" si="11">L37-$D37</f>
        <v>-6191.4337306516209</v>
      </c>
      <c r="N37" s="27" t="s">
        <v>13</v>
      </c>
      <c r="O37" s="27"/>
      <c r="P37" s="132"/>
    </row>
    <row r="38" spans="1:16" ht="17.649999999999999" hidden="1" customHeight="1" x14ac:dyDescent="0.35">
      <c r="A38" s="132" t="s">
        <v>312</v>
      </c>
      <c r="B38" s="27"/>
      <c r="C38" s="56" t="s">
        <v>384</v>
      </c>
      <c r="D38" s="85">
        <f>D36+D37</f>
        <v>6191.4337306516209</v>
      </c>
      <c r="E38" s="84"/>
      <c r="F38" s="85">
        <f>F36+F37</f>
        <v>0</v>
      </c>
      <c r="G38" s="86">
        <f t="shared" si="8"/>
        <v>-6191.4337306516209</v>
      </c>
      <c r="H38" s="84"/>
      <c r="I38" s="85">
        <f>I36+I37</f>
        <v>0</v>
      </c>
      <c r="J38" s="86">
        <f t="shared" si="9"/>
        <v>-6191.4337306516209</v>
      </c>
      <c r="K38" s="84"/>
      <c r="L38" s="85">
        <f>L36+L37</f>
        <v>0</v>
      </c>
      <c r="M38" s="86">
        <f t="shared" si="11"/>
        <v>-6191.4337306516209</v>
      </c>
      <c r="N38" s="27" t="s">
        <v>13</v>
      </c>
      <c r="O38" s="27"/>
      <c r="P38" s="132"/>
    </row>
    <row r="39" spans="1:16" ht="17.649999999999999" customHeight="1" x14ac:dyDescent="0.35">
      <c r="A39" s="132"/>
      <c r="B39" s="27"/>
      <c r="C39" s="56" t="s">
        <v>474</v>
      </c>
      <c r="D39" s="85">
        <f>(IF('Scenarios &amp; Measures'!$I$30&gt;0, 'Scenarios &amp; Measures'!$I$30, 'Scenarios &amp; Measures'!$I$29)+IF('Scenarios &amp; Measures'!$J$30&gt;0, 'Scenarios &amp; Measures'!$J$30, 'Scenarios &amp; Measures'!$J$29))*'General Project Info'!$K$20/1000</f>
        <v>3798.553151643644</v>
      </c>
      <c r="E39" s="84"/>
      <c r="F39" s="85">
        <f>(IF('Scenarios &amp; Measures'!$I$55&gt;0, 'Scenarios &amp; Measures'!$I$55, 'Scenarios &amp; Measures'!$I$54)+IF('Scenarios &amp; Measures'!$J$55&gt;0, 'Scenarios &amp; Measures'!$J$55, 'Scenarios &amp; Measures'!$J$54))*'General Project Info'!$K$20/1000</f>
        <v>0</v>
      </c>
      <c r="G39" s="122">
        <f t="shared" si="8"/>
        <v>-3798.553151643644</v>
      </c>
      <c r="H39" s="84"/>
      <c r="I39" s="85">
        <f>(IF('Scenarios &amp; Measures'!$I$80&gt;0, 'Scenarios &amp; Measures'!$I$80, 'Scenarios &amp; Measures'!$I$79)+IF('Scenarios &amp; Measures'!$J$80&gt;0, 'Scenarios &amp; Measures'!$J$80, 'Scenarios &amp; Measures'!$J$79))*'General Project Info'!$K$20/1000</f>
        <v>0</v>
      </c>
      <c r="J39" s="122">
        <f t="shared" si="9"/>
        <v>-3798.553151643644</v>
      </c>
      <c r="K39" s="84"/>
      <c r="L39" s="85">
        <f>(IF('Scenarios &amp; Measures'!$I$105&gt;0, 'Scenarios &amp; Measures'!$I$105, 'Scenarios &amp; Measures'!$I$104)+IF('Scenarios &amp; Measures'!$J$105&gt;0, 'Scenarios &amp; Measures'!$J$105, 'Scenarios &amp; Measures'!$J$104))*'General Project Info'!$K$20/1000</f>
        <v>0</v>
      </c>
      <c r="M39" s="122">
        <f t="shared" si="11"/>
        <v>-3798.553151643644</v>
      </c>
      <c r="N39" s="27" t="s">
        <v>458</v>
      </c>
      <c r="O39" s="27"/>
      <c r="P39" s="132"/>
    </row>
    <row r="40" spans="1:16" ht="17.649999999999999" hidden="1" customHeight="1" x14ac:dyDescent="0.35">
      <c r="A40" s="136" t="s">
        <v>437</v>
      </c>
      <c r="B40" s="27"/>
      <c r="C40" s="56" t="s">
        <v>419</v>
      </c>
      <c r="D40" s="87" t="e">
        <f>D38/$M$11</f>
        <v>#DIV/0!</v>
      </c>
      <c r="E40" s="88"/>
      <c r="F40" s="87" t="e">
        <f>F38/$M$11</f>
        <v>#DIV/0!</v>
      </c>
      <c r="G40" s="122" t="e">
        <f t="shared" si="8"/>
        <v>#DIV/0!</v>
      </c>
      <c r="H40" s="88"/>
      <c r="I40" s="87" t="e">
        <f>I38/$M$11</f>
        <v>#DIV/0!</v>
      </c>
      <c r="J40" s="122" t="e">
        <f t="shared" si="9"/>
        <v>#DIV/0!</v>
      </c>
      <c r="K40" s="88"/>
      <c r="L40" s="87" t="e">
        <f>L38/$M$11</f>
        <v>#DIV/0!</v>
      </c>
      <c r="M40" s="122" t="e">
        <f t="shared" si="11"/>
        <v>#DIV/0!</v>
      </c>
      <c r="N40" s="27" t="s">
        <v>458</v>
      </c>
      <c r="O40" s="27"/>
      <c r="P40" s="132"/>
    </row>
    <row r="41" spans="1:16" ht="17.649999999999999" hidden="1" customHeight="1" x14ac:dyDescent="0.35">
      <c r="A41" s="132" t="s">
        <v>310</v>
      </c>
      <c r="B41" s="27"/>
      <c r="C41" s="56" t="s">
        <v>373</v>
      </c>
      <c r="D41" s="85">
        <f>IF('Scenarios &amp; Measures'!$I$30&gt;0, ('Scenarios &amp; Measures'!$AF$29+'Scenarios &amp; Measures'!$AH$29)/$M$10, SUM('Scenarios &amp; Measures'!$AI$14:$AJ$27)/$M$10)</f>
        <v>0</v>
      </c>
      <c r="E41" s="84"/>
      <c r="F41" s="85">
        <f>IF('Scenarios &amp; Measures'!$I$55&lt;&gt;0, ('Scenarios &amp; Measures'!$AF$54+'Scenarios &amp; Measures'!$AH$54)/$M$10, SUM('Scenarios &amp; Measures'!$AI$39:$AJ$52)/$M$10)</f>
        <v>0</v>
      </c>
      <c r="G41" s="122">
        <f t="shared" si="8"/>
        <v>0</v>
      </c>
      <c r="H41" s="84"/>
      <c r="I41" s="85">
        <f>IF('Scenarios &amp; Measures'!$I$80&lt;&gt;0, ('Scenarios &amp; Measures'!$AF$79+'Scenarios &amp; Measures'!$AH$79)/$M$10, SUM('Scenarios &amp; Measures'!$AI$64:$AJ$77)/$M$10)</f>
        <v>0</v>
      </c>
      <c r="J41" s="122">
        <f t="shared" si="9"/>
        <v>0</v>
      </c>
      <c r="K41" s="84"/>
      <c r="L41" s="85">
        <f>IF('Scenarios &amp; Measures'!$I$105&lt;&gt;0, ('Scenarios &amp; Measures'!$AF$104+'Scenarios &amp; Measures'!$AH$104)/$M$10, SUM('Scenarios &amp; Measures'!$AI$89:$AJ$102)/$M$10)</f>
        <v>0</v>
      </c>
      <c r="M41" s="122">
        <f>L41-$D41</f>
        <v>0</v>
      </c>
      <c r="N41" s="27" t="s">
        <v>458</v>
      </c>
      <c r="O41" s="27"/>
      <c r="P41" s="132"/>
    </row>
    <row r="42" spans="1:16" ht="17.649999999999999" hidden="1" customHeight="1" x14ac:dyDescent="0.35">
      <c r="A42" s="132" t="s">
        <v>310</v>
      </c>
      <c r="B42" s="27"/>
      <c r="C42" s="56" t="s">
        <v>374</v>
      </c>
      <c r="D42" s="85">
        <f>IF('Scenarios &amp; Measures'!$J$30&gt;0, 'Scenarios &amp; Measures'!$AF$30/$M$10, SUM('Scenarios &amp; Measures'!$AK$14:$AK$27)/$M$10)</f>
        <v>4170.1829183025029</v>
      </c>
      <c r="E42" s="84"/>
      <c r="F42" s="85">
        <f>IF('Scenarios &amp; Measures'!$J$55&lt;&gt;0, 'Scenarios &amp; Measures'!$AF$55/$M$10, SUM('Scenarios &amp; Measures'!$AK$39:$AK$52)/$M$10)</f>
        <v>0</v>
      </c>
      <c r="G42" s="122">
        <f t="shared" si="8"/>
        <v>-4170.1829183025029</v>
      </c>
      <c r="H42" s="84"/>
      <c r="I42" s="85">
        <f>IF('Scenarios &amp; Measures'!$J$80&lt;&gt;0, 'Scenarios &amp; Measures'!$AF$80/$M$10, SUM('Scenarios &amp; Measures'!$AK$64:$AK$77)/$M$10)</f>
        <v>0</v>
      </c>
      <c r="J42" s="122">
        <f t="shared" si="9"/>
        <v>-4170.1829183025029</v>
      </c>
      <c r="K42" s="84"/>
      <c r="L42" s="85">
        <f>IF('Scenarios &amp; Measures'!$J$105&lt;&gt;0, 'Scenarios &amp; Measures'!$AF$105/$M$10, SUM('Scenarios &amp; Measures'!$AK$89:$AK$102)/$M$10)</f>
        <v>0</v>
      </c>
      <c r="M42" s="122">
        <f t="shared" ref="M42:M45" si="12">L42-$D42</f>
        <v>-4170.1829183025029</v>
      </c>
      <c r="N42" s="27" t="s">
        <v>458</v>
      </c>
      <c r="O42" s="27"/>
      <c r="P42" s="132"/>
    </row>
    <row r="43" spans="1:16" ht="17.649999999999999" hidden="1" customHeight="1" x14ac:dyDescent="0.35">
      <c r="A43" s="132" t="s">
        <v>310</v>
      </c>
      <c r="B43" s="27"/>
      <c r="C43" s="56" t="s">
        <v>385</v>
      </c>
      <c r="D43" s="85">
        <f>D41+D42</f>
        <v>4170.1829183025029</v>
      </c>
      <c r="E43" s="84"/>
      <c r="F43" s="85">
        <f>F41+F42</f>
        <v>0</v>
      </c>
      <c r="G43" s="122">
        <f t="shared" si="8"/>
        <v>-4170.1829183025029</v>
      </c>
      <c r="H43" s="84"/>
      <c r="I43" s="85">
        <f>I41+I42</f>
        <v>0</v>
      </c>
      <c r="J43" s="122">
        <f t="shared" si="9"/>
        <v>-4170.1829183025029</v>
      </c>
      <c r="K43" s="84"/>
      <c r="L43" s="85">
        <f>L41+L42</f>
        <v>0</v>
      </c>
      <c r="M43" s="122">
        <f t="shared" si="12"/>
        <v>-4170.1829183025029</v>
      </c>
      <c r="N43" s="27" t="s">
        <v>458</v>
      </c>
      <c r="O43" s="27"/>
      <c r="P43" s="132"/>
    </row>
    <row r="44" spans="1:16" ht="17.649999999999999" customHeight="1" x14ac:dyDescent="0.35">
      <c r="A44" s="132"/>
      <c r="B44" s="27"/>
      <c r="C44" s="56" t="s">
        <v>421</v>
      </c>
      <c r="D44" s="85">
        <f>SUM('Scenarios &amp; Measures'!$AE$29:$AE$32)+SUM('Scenarios &amp; Measures'!$AG$29:$AG$31)</f>
        <v>3798.553151643644</v>
      </c>
      <c r="E44" s="84"/>
      <c r="F44" s="85">
        <f>SUM('Scenarios &amp; Measures'!$AE$54:$AE$57)+SUM('Scenarios &amp; Measures'!$AG$54:$AG$57)</f>
        <v>0</v>
      </c>
      <c r="G44" s="122">
        <f t="shared" si="8"/>
        <v>-3798.553151643644</v>
      </c>
      <c r="H44" s="84"/>
      <c r="I44" s="85">
        <f>SUM('Scenarios &amp; Measures'!$AE$79:$AE$82)+SUM('Scenarios &amp; Measures'!$AG$79:$AG$81)</f>
        <v>0</v>
      </c>
      <c r="J44" s="122">
        <f t="shared" si="9"/>
        <v>-3798.553151643644</v>
      </c>
      <c r="K44" s="84"/>
      <c r="L44" s="85">
        <f>SUM('Scenarios &amp; Measures'!$AE$104:$AE$107)+SUM('Scenarios &amp; Measures'!$AG$104:$AG$106)</f>
        <v>0</v>
      </c>
      <c r="M44" s="122">
        <f t="shared" si="12"/>
        <v>-3798.553151643644</v>
      </c>
      <c r="N44" s="27" t="s">
        <v>458</v>
      </c>
      <c r="O44" s="27"/>
      <c r="P44" s="132"/>
    </row>
    <row r="45" spans="1:16" ht="17.649999999999999" hidden="1" customHeight="1" x14ac:dyDescent="0.35">
      <c r="A45" s="136" t="s">
        <v>437</v>
      </c>
      <c r="B45" s="27"/>
      <c r="C45" s="56" t="s">
        <v>420</v>
      </c>
      <c r="D45" s="87" t="e">
        <f>D43/$M$11</f>
        <v>#DIV/0!</v>
      </c>
      <c r="E45" s="88"/>
      <c r="F45" s="87" t="e">
        <f>F43/$M$11</f>
        <v>#DIV/0!</v>
      </c>
      <c r="G45" s="122" t="e">
        <f t="shared" si="8"/>
        <v>#DIV/0!</v>
      </c>
      <c r="H45" s="88"/>
      <c r="I45" s="87" t="e">
        <f>I43/$M$11</f>
        <v>#DIV/0!</v>
      </c>
      <c r="J45" s="122" t="e">
        <f t="shared" si="9"/>
        <v>#DIV/0!</v>
      </c>
      <c r="K45" s="88"/>
      <c r="L45" s="87" t="e">
        <f>L43/$M$11</f>
        <v>#DIV/0!</v>
      </c>
      <c r="M45" s="122" t="e">
        <f t="shared" si="12"/>
        <v>#DIV/0!</v>
      </c>
      <c r="N45" s="27" t="s">
        <v>458</v>
      </c>
      <c r="O45" s="27"/>
      <c r="P45" s="132"/>
    </row>
    <row r="46" spans="1:16" ht="17.649999999999999" hidden="1" customHeight="1" x14ac:dyDescent="0.35">
      <c r="A46" s="132" t="s">
        <v>437</v>
      </c>
      <c r="B46" s="27"/>
      <c r="C46" s="56" t="s">
        <v>386</v>
      </c>
      <c r="D46" s="85">
        <f>IF('Scenarios &amp; Measures'!$O$30&gt;0, 'Scenarios &amp; Measures'!$Y$30/'Scenarios &amp; Measures'!$X$10, SUM('Scenarios &amp; Measures'!$AE$14:$AE$27)/'Scenarios &amp; Measures'!$X$10)</f>
        <v>10955.097809758689</v>
      </c>
      <c r="E46" s="84"/>
      <c r="F46" s="85">
        <f>IF('Scenarios &amp; Measures'!$O$55&lt;&gt;0, 'Scenarios &amp; Measures'!$Y$55/'Scenarios &amp; Measures'!$X$10, SUM('Scenarios &amp; Measures'!$AE$39:$AE$52)/'Scenarios &amp; Measures'!$X$10)</f>
        <v>0</v>
      </c>
      <c r="G46" s="122">
        <f t="shared" si="8"/>
        <v>-10955.097809758689</v>
      </c>
      <c r="H46" s="84"/>
      <c r="I46" s="85">
        <f>IF('Scenarios &amp; Measures'!$O$80&lt;&gt;0, 'Scenarios &amp; Measures'!$Y$80/'Scenarios &amp; Measures'!$X$10, SUM('Scenarios &amp; Measures'!$AE$64:$AE$77)/'Scenarios &amp; Measures'!$X$10)</f>
        <v>0</v>
      </c>
      <c r="J46" s="122">
        <f t="shared" si="9"/>
        <v>-10955.097809758689</v>
      </c>
      <c r="K46" s="84"/>
      <c r="L46" s="85">
        <f>IF('Scenarios &amp; Measures'!$O$105&lt;&gt;0, 'Scenarios &amp; Measures'!$Y$105/'Scenarios &amp; Measures'!$X$10, SUM('Scenarios &amp; Measures'!$AE$89:$AE$102)/'Scenarios &amp; Measures'!$X$10)</f>
        <v>0</v>
      </c>
      <c r="M46" s="122">
        <f t="shared" ref="M46:M55" si="13">L46-$D46</f>
        <v>-10955.097809758689</v>
      </c>
      <c r="N46" s="27" t="s">
        <v>458</v>
      </c>
      <c r="O46" s="27"/>
      <c r="P46" s="132"/>
    </row>
    <row r="47" spans="1:16" ht="17.649999999999999" customHeight="1" x14ac:dyDescent="0.35">
      <c r="A47" s="132"/>
      <c r="B47" s="27"/>
      <c r="C47" s="56" t="s">
        <v>302</v>
      </c>
      <c r="D47" s="85">
        <f>IF('Scenarios &amp; Measures'!$O$30&lt;&gt;0, 'Scenarios &amp; Measures'!$O$30, 'Scenarios &amp; Measures'!$O$29)</f>
        <v>12000</v>
      </c>
      <c r="E47" s="84"/>
      <c r="F47" s="85">
        <f>IF('Scenarios &amp; Measures'!$O$55&lt;&gt;0, 'Scenarios &amp; Measures'!$O$55, 'Scenarios &amp; Measures'!$O$54)</f>
        <v>0</v>
      </c>
      <c r="G47" s="122">
        <f t="shared" si="8"/>
        <v>-12000</v>
      </c>
      <c r="H47" s="84"/>
      <c r="I47" s="85">
        <f>IF('Scenarios &amp; Measures'!$O$80&lt;&gt;0, 'Scenarios &amp; Measures'!$O$80, 'Scenarios &amp; Measures'!$O$79)</f>
        <v>0</v>
      </c>
      <c r="J47" s="122">
        <f t="shared" si="9"/>
        <v>-12000</v>
      </c>
      <c r="K47" s="84"/>
      <c r="L47" s="85">
        <f>IF('Scenarios &amp; Measures'!$O$105&lt;&gt;0, 'Scenarios &amp; Measures'!$O$105, 'Scenarios &amp; Measures'!$O$104)</f>
        <v>0</v>
      </c>
      <c r="M47" s="122">
        <f t="shared" si="13"/>
        <v>-12000</v>
      </c>
      <c r="N47" s="27" t="s">
        <v>458</v>
      </c>
      <c r="O47" s="27"/>
      <c r="P47" s="132"/>
    </row>
    <row r="48" spans="1:16" ht="17.649999999999999" hidden="1" customHeight="1" x14ac:dyDescent="0.35">
      <c r="A48" s="136" t="s">
        <v>437</v>
      </c>
      <c r="B48" s="27"/>
      <c r="C48" s="56" t="s">
        <v>422</v>
      </c>
      <c r="D48" s="87" t="e">
        <f>D46/$M$11</f>
        <v>#DIV/0!</v>
      </c>
      <c r="E48" s="88"/>
      <c r="F48" s="87" t="e">
        <f>F46/$M$11</f>
        <v>#DIV/0!</v>
      </c>
      <c r="G48" s="122" t="e">
        <f t="shared" si="8"/>
        <v>#DIV/0!</v>
      </c>
      <c r="H48" s="88"/>
      <c r="I48" s="87" t="e">
        <f>I46/$M$11</f>
        <v>#DIV/0!</v>
      </c>
      <c r="J48" s="122" t="e">
        <f t="shared" si="9"/>
        <v>#DIV/0!</v>
      </c>
      <c r="K48" s="88"/>
      <c r="L48" s="87" t="e">
        <f>L46/$M$11</f>
        <v>#DIV/0!</v>
      </c>
      <c r="M48" s="122" t="e">
        <f t="shared" si="13"/>
        <v>#DIV/0!</v>
      </c>
      <c r="N48" s="27" t="s">
        <v>458</v>
      </c>
      <c r="O48" s="27"/>
      <c r="P48" s="132"/>
    </row>
    <row r="49" spans="1:16" ht="17.649999999999999" hidden="1" customHeight="1" x14ac:dyDescent="0.35">
      <c r="A49" s="132" t="s">
        <v>437</v>
      </c>
      <c r="B49" s="27"/>
      <c r="C49" s="56" t="s">
        <v>387</v>
      </c>
      <c r="D49" s="85">
        <f t="shared" ref="D49:F50" si="14">D46+D43+D38+D33</f>
        <v>44361.418589273162</v>
      </c>
      <c r="E49" s="84"/>
      <c r="F49" s="85">
        <f t="shared" si="14"/>
        <v>0</v>
      </c>
      <c r="G49" s="122">
        <f t="shared" si="8"/>
        <v>-44361.418589273162</v>
      </c>
      <c r="H49" s="84"/>
      <c r="I49" s="85">
        <f>I46+I43+I38+I33</f>
        <v>0</v>
      </c>
      <c r="J49" s="122">
        <f t="shared" si="9"/>
        <v>-44361.418589273162</v>
      </c>
      <c r="K49" s="84"/>
      <c r="L49" s="85">
        <f>L46+L43+L38+L33</f>
        <v>0</v>
      </c>
      <c r="M49" s="122">
        <f t="shared" si="13"/>
        <v>-44361.418589273162</v>
      </c>
      <c r="N49" s="27" t="s">
        <v>458</v>
      </c>
      <c r="O49" s="27"/>
      <c r="P49" s="132"/>
    </row>
    <row r="50" spans="1:16" ht="17.649999999999999" customHeight="1" x14ac:dyDescent="0.35">
      <c r="A50" s="132"/>
      <c r="B50" s="27"/>
      <c r="C50" s="68" t="s">
        <v>423</v>
      </c>
      <c r="D50" s="90">
        <f t="shared" si="14"/>
        <v>45597.106303287292</v>
      </c>
      <c r="E50" s="91"/>
      <c r="F50" s="90">
        <f t="shared" si="14"/>
        <v>0</v>
      </c>
      <c r="G50" s="123">
        <f>F50-$D$50</f>
        <v>-45597.106303287292</v>
      </c>
      <c r="H50" s="91"/>
      <c r="I50" s="90">
        <f>I47+I44+I39+I34</f>
        <v>0</v>
      </c>
      <c r="J50" s="123">
        <f>I50-$D$50</f>
        <v>-45597.106303287292</v>
      </c>
      <c r="K50" s="91"/>
      <c r="L50" s="90">
        <f>L47+L44+L39+L34</f>
        <v>0</v>
      </c>
      <c r="M50" s="123">
        <f>L50-$D$50</f>
        <v>-45597.106303287292</v>
      </c>
      <c r="N50" s="28" t="s">
        <v>458</v>
      </c>
      <c r="O50" s="27"/>
      <c r="P50" s="132"/>
    </row>
    <row r="51" spans="1:16" ht="17.649999999999999" customHeight="1" x14ac:dyDescent="0.35">
      <c r="A51" s="132"/>
      <c r="B51" s="27"/>
      <c r="C51" s="56" t="s">
        <v>424</v>
      </c>
      <c r="D51" s="87">
        <f>IFERROR(D48+D45+D40+D35, 0)</f>
        <v>0</v>
      </c>
      <c r="E51" s="88"/>
      <c r="F51" s="87">
        <f>IFERROR(F48+F45+F40+F35, 0)</f>
        <v>0</v>
      </c>
      <c r="G51" s="124">
        <f>F51-$D51</f>
        <v>0</v>
      </c>
      <c r="H51" s="88"/>
      <c r="I51" s="87">
        <f>IFERROR(I48+I45+I40+I35, 0)</f>
        <v>0</v>
      </c>
      <c r="J51" s="124">
        <f>I51-$D51</f>
        <v>0</v>
      </c>
      <c r="K51" s="88"/>
      <c r="L51" s="87">
        <f>IFERROR(L48+L45+L40+L35, 0)</f>
        <v>0</v>
      </c>
      <c r="M51" s="124">
        <f t="shared" si="13"/>
        <v>0</v>
      </c>
      <c r="N51" s="27" t="s">
        <v>409</v>
      </c>
      <c r="O51" s="27"/>
      <c r="P51" s="132"/>
    </row>
    <row r="52" spans="1:16" hidden="1" x14ac:dyDescent="0.35">
      <c r="A52" s="132"/>
      <c r="B52" s="50" t="s">
        <v>437</v>
      </c>
      <c r="C52" s="56" t="s">
        <v>425</v>
      </c>
      <c r="D52" s="85">
        <f>SUM('Scenarios &amp; Measures'!$AH$14:$AH$27)/'Scenarios &amp; Measures'!$X$10</f>
        <v>13901.967004400907</v>
      </c>
      <c r="E52" s="84"/>
      <c r="F52" s="85">
        <f>SUM('Scenarios &amp; Measures'!$AH$39:$AH$52)/'Scenarios &amp; Measures'!$X$10</f>
        <v>0</v>
      </c>
      <c r="G52" s="86">
        <f>F52-$D52</f>
        <v>-13901.967004400907</v>
      </c>
      <c r="H52" s="84"/>
      <c r="I52" s="85">
        <f>SUM('Scenarios &amp; Measures'!$AH$64:$AH$77)/'Scenarios &amp; Measures'!$X$10</f>
        <v>0</v>
      </c>
      <c r="J52" s="86">
        <f>I52-$D52</f>
        <v>-13901.967004400907</v>
      </c>
      <c r="K52" s="84"/>
      <c r="L52" s="85">
        <f>SUM('Scenarios &amp; Measures'!$AH$89:$AH$102)/'Scenarios &amp; Measures'!$X$10</f>
        <v>0</v>
      </c>
      <c r="M52" s="86">
        <f t="shared" si="13"/>
        <v>-13901.967004400907</v>
      </c>
      <c r="N52" s="27" t="s">
        <v>13</v>
      </c>
      <c r="O52" s="27"/>
      <c r="P52" s="132"/>
    </row>
    <row r="53" spans="1:16" ht="16.5" hidden="1" x14ac:dyDescent="0.35">
      <c r="A53" s="136" t="s">
        <v>437</v>
      </c>
      <c r="B53" s="27"/>
      <c r="C53" s="56" t="s">
        <v>426</v>
      </c>
      <c r="D53" s="87" t="e">
        <f>D52/$M$11</f>
        <v>#DIV/0!</v>
      </c>
      <c r="E53" s="88"/>
      <c r="F53" s="87" t="e">
        <f>F52/$M$11</f>
        <v>#DIV/0!</v>
      </c>
      <c r="G53" s="89" t="e">
        <f>F53-$D53</f>
        <v>#DIV/0!</v>
      </c>
      <c r="H53" s="88"/>
      <c r="I53" s="87" t="e">
        <f>I52/$M$11</f>
        <v>#DIV/0!</v>
      </c>
      <c r="J53" s="89" t="e">
        <f>I53-$D53</f>
        <v>#DIV/0!</v>
      </c>
      <c r="K53" s="88"/>
      <c r="L53" s="87" t="e">
        <f>L52/$M$11</f>
        <v>#DIV/0!</v>
      </c>
      <c r="M53" s="89" t="e">
        <f t="shared" si="13"/>
        <v>#DIV/0!</v>
      </c>
      <c r="N53" s="27" t="s">
        <v>409</v>
      </c>
      <c r="O53" s="27"/>
      <c r="P53" s="132"/>
    </row>
    <row r="54" spans="1:16" hidden="1" x14ac:dyDescent="0.35">
      <c r="A54" s="132"/>
      <c r="B54" s="50" t="s">
        <v>437</v>
      </c>
      <c r="C54" s="56" t="s">
        <v>427</v>
      </c>
      <c r="D54" s="85">
        <f>D52+D49</f>
        <v>58263.385593674073</v>
      </c>
      <c r="E54" s="84"/>
      <c r="F54" s="85">
        <f>F52+F49</f>
        <v>0</v>
      </c>
      <c r="G54" s="86">
        <f>F54-$D54</f>
        <v>-58263.385593674073</v>
      </c>
      <c r="H54" s="84"/>
      <c r="I54" s="85">
        <f>I52+I49</f>
        <v>0</v>
      </c>
      <c r="J54" s="86">
        <f>I54-$D54</f>
        <v>-58263.385593674073</v>
      </c>
      <c r="K54" s="84"/>
      <c r="L54" s="85">
        <f>L52+L49</f>
        <v>0</v>
      </c>
      <c r="M54" s="86">
        <f t="shared" si="13"/>
        <v>-58263.385593674073</v>
      </c>
      <c r="N54" s="27" t="s">
        <v>13</v>
      </c>
      <c r="O54" s="27"/>
      <c r="P54" s="132"/>
    </row>
    <row r="55" spans="1:16" ht="16.5" hidden="1" x14ac:dyDescent="0.35">
      <c r="A55" s="136" t="s">
        <v>437</v>
      </c>
      <c r="B55" s="27"/>
      <c r="C55" s="56" t="s">
        <v>428</v>
      </c>
      <c r="D55" s="87" t="e">
        <f>D54/$M$11</f>
        <v>#DIV/0!</v>
      </c>
      <c r="E55" s="88"/>
      <c r="F55" s="87" t="e">
        <f>F54/$M$11</f>
        <v>#DIV/0!</v>
      </c>
      <c r="G55" s="89" t="e">
        <f>F55-$D55</f>
        <v>#DIV/0!</v>
      </c>
      <c r="H55" s="88"/>
      <c r="I55" s="87" t="e">
        <f>I54/$M$11</f>
        <v>#DIV/0!</v>
      </c>
      <c r="J55" s="89" t="e">
        <f>I55-$D55</f>
        <v>#DIV/0!</v>
      </c>
      <c r="K55" s="88"/>
      <c r="L55" s="87" t="e">
        <f>L54/$M$11</f>
        <v>#DIV/0!</v>
      </c>
      <c r="M55" s="89" t="e">
        <f t="shared" si="13"/>
        <v>#DIV/0!</v>
      </c>
      <c r="N55" s="27" t="s">
        <v>409</v>
      </c>
      <c r="O55" s="27"/>
      <c r="P55" s="132"/>
    </row>
    <row r="56" spans="1:16" ht="16.5" customHeight="1" x14ac:dyDescent="0.35">
      <c r="A56" s="132"/>
      <c r="B56" s="27"/>
      <c r="C56" s="69" t="s">
        <v>473</v>
      </c>
      <c r="D56" s="81"/>
      <c r="E56" s="82"/>
      <c r="F56" s="81"/>
      <c r="G56" s="81"/>
      <c r="H56" s="82"/>
      <c r="I56" s="81"/>
      <c r="J56" s="81"/>
      <c r="K56" s="82"/>
      <c r="L56" s="81"/>
      <c r="M56" s="81"/>
      <c r="N56" s="27"/>
      <c r="O56" s="27"/>
      <c r="P56" s="132"/>
    </row>
    <row r="57" spans="1:16" ht="15" hidden="1" customHeight="1" x14ac:dyDescent="0.35">
      <c r="A57" s="132"/>
      <c r="B57" s="50" t="s">
        <v>437</v>
      </c>
      <c r="C57" s="56" t="s">
        <v>429</v>
      </c>
      <c r="D57" s="85">
        <f>D31*$M$10</f>
        <v>0</v>
      </c>
      <c r="E57" s="84"/>
      <c r="F57" s="85">
        <f>F31*$M$10</f>
        <v>0</v>
      </c>
      <c r="G57" s="86">
        <f t="shared" ref="G57:G72" si="15">F57-$D57</f>
        <v>0</v>
      </c>
      <c r="H57" s="84"/>
      <c r="I57" s="85">
        <f>I31*$M$10</f>
        <v>0</v>
      </c>
      <c r="J57" s="86">
        <f t="shared" ref="J57:J72" si="16">I57-$D57</f>
        <v>0</v>
      </c>
      <c r="K57" s="84"/>
      <c r="L57" s="85">
        <f>L31*$M$10</f>
        <v>0</v>
      </c>
      <c r="M57" s="86">
        <f t="shared" ref="M57:M66" si="17">L57-$D57</f>
        <v>0</v>
      </c>
      <c r="N57" s="27" t="s">
        <v>13</v>
      </c>
      <c r="O57" s="27"/>
      <c r="P57" s="132"/>
    </row>
    <row r="58" spans="1:16" ht="15" hidden="1" customHeight="1" x14ac:dyDescent="0.35">
      <c r="A58" s="132"/>
      <c r="B58" s="50" t="s">
        <v>437</v>
      </c>
      <c r="C58" s="56" t="s">
        <v>430</v>
      </c>
      <c r="D58" s="85">
        <f>D32*$M$10</f>
        <v>460894.08261120704</v>
      </c>
      <c r="E58" s="84"/>
      <c r="F58" s="85">
        <f>F32*$M$10</f>
        <v>0</v>
      </c>
      <c r="G58" s="86">
        <f t="shared" si="15"/>
        <v>-460894.08261120704</v>
      </c>
      <c r="H58" s="84"/>
      <c r="I58" s="85">
        <f>I32*$M$10</f>
        <v>0</v>
      </c>
      <c r="J58" s="86">
        <f t="shared" si="16"/>
        <v>-460894.08261120704</v>
      </c>
      <c r="K58" s="84"/>
      <c r="L58" s="85">
        <f>L32*$M$10</f>
        <v>0</v>
      </c>
      <c r="M58" s="86">
        <f t="shared" si="17"/>
        <v>-460894.08261120704</v>
      </c>
      <c r="N58" s="27" t="s">
        <v>13</v>
      </c>
      <c r="O58" s="27"/>
      <c r="P58" s="132"/>
    </row>
    <row r="59" spans="1:16" ht="17.25" customHeight="1" x14ac:dyDescent="0.35">
      <c r="A59" s="132"/>
      <c r="B59" s="27"/>
      <c r="C59" s="56" t="s">
        <v>283</v>
      </c>
      <c r="D59" s="85">
        <f>D33*$M$10</f>
        <v>460894.08261120704</v>
      </c>
      <c r="E59" s="84"/>
      <c r="F59" s="85">
        <f>F33*$M$10</f>
        <v>0</v>
      </c>
      <c r="G59" s="122">
        <f t="shared" si="15"/>
        <v>-460894.08261120704</v>
      </c>
      <c r="H59" s="84"/>
      <c r="I59" s="85">
        <f>I33*$M$10</f>
        <v>0</v>
      </c>
      <c r="J59" s="122">
        <f t="shared" si="16"/>
        <v>-460894.08261120704</v>
      </c>
      <c r="K59" s="84"/>
      <c r="L59" s="85">
        <f>L33*$M$10</f>
        <v>0</v>
      </c>
      <c r="M59" s="122">
        <f t="shared" si="17"/>
        <v>-460894.08261120704</v>
      </c>
      <c r="N59" s="27" t="s">
        <v>458</v>
      </c>
      <c r="O59" s="27"/>
      <c r="P59" s="132"/>
    </row>
    <row r="60" spans="1:16" hidden="1" x14ac:dyDescent="0.35">
      <c r="A60" s="132" t="s">
        <v>310</v>
      </c>
      <c r="B60" s="27"/>
      <c r="C60" s="56" t="s">
        <v>272</v>
      </c>
      <c r="D60" s="85">
        <f>D36*$M$10</f>
        <v>0</v>
      </c>
      <c r="E60" s="84"/>
      <c r="F60" s="85">
        <f>F36*$M$10</f>
        <v>0</v>
      </c>
      <c r="G60" s="122">
        <f t="shared" si="15"/>
        <v>0</v>
      </c>
      <c r="H60" s="84"/>
      <c r="I60" s="85">
        <f>I36*$M$10</f>
        <v>0</v>
      </c>
      <c r="J60" s="122">
        <f t="shared" si="16"/>
        <v>0</v>
      </c>
      <c r="K60" s="84"/>
      <c r="L60" s="85">
        <f>L36*$M$10</f>
        <v>0</v>
      </c>
      <c r="M60" s="122">
        <f t="shared" si="17"/>
        <v>0</v>
      </c>
      <c r="N60" s="27" t="s">
        <v>458</v>
      </c>
      <c r="O60" s="27"/>
      <c r="P60" s="132"/>
    </row>
    <row r="61" spans="1:16" hidden="1" x14ac:dyDescent="0.35">
      <c r="A61" s="132" t="s">
        <v>310</v>
      </c>
      <c r="B61" s="27"/>
      <c r="C61" s="56" t="s">
        <v>273</v>
      </c>
      <c r="D61" s="85">
        <f>D37*$M$10</f>
        <v>123828.67461303242</v>
      </c>
      <c r="E61" s="84"/>
      <c r="F61" s="85">
        <f>F37*$M$10</f>
        <v>0</v>
      </c>
      <c r="G61" s="122">
        <f t="shared" si="15"/>
        <v>-123828.67461303242</v>
      </c>
      <c r="H61" s="84"/>
      <c r="I61" s="85">
        <f>I37*$M$10</f>
        <v>0</v>
      </c>
      <c r="J61" s="122">
        <f t="shared" si="16"/>
        <v>-123828.67461303242</v>
      </c>
      <c r="K61" s="84"/>
      <c r="L61" s="85">
        <f>L37*$M$10</f>
        <v>0</v>
      </c>
      <c r="M61" s="122">
        <f t="shared" si="17"/>
        <v>-123828.67461303242</v>
      </c>
      <c r="N61" s="27" t="s">
        <v>458</v>
      </c>
      <c r="O61" s="27"/>
      <c r="P61" s="132"/>
    </row>
    <row r="62" spans="1:16" ht="17.25" customHeight="1" x14ac:dyDescent="0.35">
      <c r="A62" s="132"/>
      <c r="B62" s="27"/>
      <c r="C62" s="56" t="s">
        <v>474</v>
      </c>
      <c r="D62" s="85">
        <f>D38*$M$10</f>
        <v>123828.67461303242</v>
      </c>
      <c r="E62" s="84"/>
      <c r="F62" s="85">
        <f>F38*$M$10</f>
        <v>0</v>
      </c>
      <c r="G62" s="122">
        <f t="shared" si="15"/>
        <v>-123828.67461303242</v>
      </c>
      <c r="H62" s="84"/>
      <c r="I62" s="85">
        <f>I38*$M$10</f>
        <v>0</v>
      </c>
      <c r="J62" s="122">
        <f t="shared" si="16"/>
        <v>-123828.67461303242</v>
      </c>
      <c r="K62" s="84"/>
      <c r="L62" s="85">
        <f>L38*$M$10</f>
        <v>0</v>
      </c>
      <c r="M62" s="122">
        <f t="shared" si="17"/>
        <v>-123828.67461303242</v>
      </c>
      <c r="N62" s="27" t="s">
        <v>458</v>
      </c>
      <c r="O62" s="27"/>
      <c r="P62" s="132"/>
    </row>
    <row r="63" spans="1:16" hidden="1" x14ac:dyDescent="0.35">
      <c r="A63" s="132" t="s">
        <v>310</v>
      </c>
      <c r="B63" s="27"/>
      <c r="C63" s="56" t="s">
        <v>274</v>
      </c>
      <c r="D63" s="85">
        <f>D41*$M$10</f>
        <v>0</v>
      </c>
      <c r="E63" s="84"/>
      <c r="F63" s="85">
        <f>F41*$M$10</f>
        <v>0</v>
      </c>
      <c r="G63" s="122">
        <f t="shared" si="15"/>
        <v>0</v>
      </c>
      <c r="H63" s="84"/>
      <c r="I63" s="85">
        <f>I41*$M$10</f>
        <v>0</v>
      </c>
      <c r="J63" s="122">
        <f t="shared" si="16"/>
        <v>0</v>
      </c>
      <c r="K63" s="84"/>
      <c r="L63" s="85">
        <f>L41*$M$10</f>
        <v>0</v>
      </c>
      <c r="M63" s="122">
        <f t="shared" si="17"/>
        <v>0</v>
      </c>
      <c r="N63" s="27" t="s">
        <v>458</v>
      </c>
      <c r="O63" s="27"/>
      <c r="P63" s="132"/>
    </row>
    <row r="64" spans="1:16" hidden="1" x14ac:dyDescent="0.35">
      <c r="A64" s="132" t="s">
        <v>310</v>
      </c>
      <c r="B64" s="27"/>
      <c r="C64" s="56" t="s">
        <v>275</v>
      </c>
      <c r="D64" s="85">
        <f>D42*$M$10</f>
        <v>83403.658366050062</v>
      </c>
      <c r="E64" s="84"/>
      <c r="F64" s="85">
        <f>F42*$M$10</f>
        <v>0</v>
      </c>
      <c r="G64" s="122">
        <f t="shared" si="15"/>
        <v>-83403.658366050062</v>
      </c>
      <c r="H64" s="84"/>
      <c r="I64" s="85">
        <f>I42*$M$10</f>
        <v>0</v>
      </c>
      <c r="J64" s="122">
        <f t="shared" si="16"/>
        <v>-83403.658366050062</v>
      </c>
      <c r="K64" s="84"/>
      <c r="L64" s="85">
        <f>L42*$M$10</f>
        <v>0</v>
      </c>
      <c r="M64" s="122">
        <f t="shared" si="17"/>
        <v>-83403.658366050062</v>
      </c>
      <c r="N64" s="27" t="s">
        <v>458</v>
      </c>
      <c r="O64" s="27"/>
      <c r="P64" s="132"/>
    </row>
    <row r="65" spans="1:16" ht="17.25" customHeight="1" x14ac:dyDescent="0.35">
      <c r="A65" s="132"/>
      <c r="B65" s="27"/>
      <c r="C65" s="56" t="s">
        <v>421</v>
      </c>
      <c r="D65" s="85">
        <f>D43*$M$10</f>
        <v>83403.658366050062</v>
      </c>
      <c r="E65" s="84"/>
      <c r="F65" s="85">
        <f>F43*$M$10</f>
        <v>0</v>
      </c>
      <c r="G65" s="122">
        <f t="shared" si="15"/>
        <v>-83403.658366050062</v>
      </c>
      <c r="H65" s="84"/>
      <c r="I65" s="85">
        <f>I43*$M$10</f>
        <v>0</v>
      </c>
      <c r="J65" s="122">
        <f t="shared" si="16"/>
        <v>-83403.658366050062</v>
      </c>
      <c r="K65" s="84"/>
      <c r="L65" s="85">
        <f>L43*$M$10</f>
        <v>0</v>
      </c>
      <c r="M65" s="122">
        <f t="shared" si="17"/>
        <v>-83403.658366050062</v>
      </c>
      <c r="N65" s="27" t="s">
        <v>458</v>
      </c>
      <c r="O65" s="27"/>
      <c r="P65" s="132"/>
    </row>
    <row r="66" spans="1:16" ht="17.25" customHeight="1" x14ac:dyDescent="0.35">
      <c r="A66" s="132"/>
      <c r="B66" s="27"/>
      <c r="C66" s="40" t="s">
        <v>302</v>
      </c>
      <c r="D66" s="85">
        <f>D46*$M$10</f>
        <v>219101.95619517379</v>
      </c>
      <c r="E66" s="84"/>
      <c r="F66" s="85">
        <f>F46*$M$10</f>
        <v>0</v>
      </c>
      <c r="G66" s="122">
        <f t="shared" si="15"/>
        <v>-219101.95619517379</v>
      </c>
      <c r="H66" s="84"/>
      <c r="I66" s="85">
        <f>I46*$M$10</f>
        <v>0</v>
      </c>
      <c r="J66" s="122">
        <f t="shared" si="16"/>
        <v>-219101.95619517379</v>
      </c>
      <c r="K66" s="84"/>
      <c r="L66" s="85">
        <f>L46*$M$10</f>
        <v>0</v>
      </c>
      <c r="M66" s="122">
        <f t="shared" si="17"/>
        <v>-219101.95619517379</v>
      </c>
      <c r="N66" s="27" t="s">
        <v>458</v>
      </c>
      <c r="O66" s="27"/>
      <c r="P66" s="132"/>
    </row>
    <row r="67" spans="1:16" ht="17.25" customHeight="1" x14ac:dyDescent="0.35">
      <c r="A67" s="132"/>
      <c r="B67" s="27"/>
      <c r="C67" s="40" t="s">
        <v>432</v>
      </c>
      <c r="D67" s="85">
        <f>SUMIF('Scenarios &amp; Measures'!$L14:$L27, 0, 'Scenarios &amp; Measures'!$M14:$M27)</f>
        <v>100000</v>
      </c>
      <c r="E67" s="84"/>
      <c r="F67" s="85">
        <f>SUMIF('Scenarios &amp; Measures'!$L39:$L52, 0, 'Scenarios &amp; Measures'!$M39:$M52)</f>
        <v>0</v>
      </c>
      <c r="G67" s="122">
        <f t="shared" si="15"/>
        <v>-100000</v>
      </c>
      <c r="H67" s="84"/>
      <c r="I67" s="85">
        <f>SUMIF('Scenarios &amp; Measures'!$L64:$L77, 0, 'Scenarios &amp; Measures'!$M64:$M77)</f>
        <v>0</v>
      </c>
      <c r="J67" s="122">
        <f t="shared" si="16"/>
        <v>-100000</v>
      </c>
      <c r="K67" s="84"/>
      <c r="L67" s="85">
        <f>SUMIF('Scenarios &amp; Measures'!$L89:$L102, 0, 'Scenarios &amp; Measures'!$M89:$M102)</f>
        <v>0</v>
      </c>
      <c r="M67" s="122">
        <f>L67-$D67</f>
        <v>-100000</v>
      </c>
      <c r="N67" s="27" t="s">
        <v>458</v>
      </c>
      <c r="O67" s="27"/>
      <c r="P67" s="132"/>
    </row>
    <row r="68" spans="1:16" ht="17.25" customHeight="1" x14ac:dyDescent="0.35">
      <c r="A68" s="132"/>
      <c r="B68" s="27"/>
      <c r="C68" s="40" t="s">
        <v>431</v>
      </c>
      <c r="D68" s="85">
        <f>D52*$M$10</f>
        <v>278039.34008801816</v>
      </c>
      <c r="E68" s="84"/>
      <c r="F68" s="85">
        <f>F52*$M$10</f>
        <v>0</v>
      </c>
      <c r="G68" s="122">
        <f>F68-$D68</f>
        <v>-278039.34008801816</v>
      </c>
      <c r="H68" s="84"/>
      <c r="I68" s="85">
        <f>I52*$M$10</f>
        <v>0</v>
      </c>
      <c r="J68" s="122">
        <f>I68-$D68</f>
        <v>-278039.34008801816</v>
      </c>
      <c r="K68" s="84"/>
      <c r="L68" s="85">
        <f>L52*$M$10</f>
        <v>0</v>
      </c>
      <c r="M68" s="122">
        <f>L68-$D68</f>
        <v>-278039.34008801816</v>
      </c>
      <c r="N68" s="27" t="s">
        <v>458</v>
      </c>
      <c r="O68" s="27"/>
      <c r="P68" s="132"/>
    </row>
    <row r="69" spans="1:16" ht="17.25" customHeight="1" x14ac:dyDescent="0.35">
      <c r="A69" s="132"/>
      <c r="B69" s="27"/>
      <c r="C69" s="40" t="s">
        <v>452</v>
      </c>
      <c r="D69" s="85">
        <f>'Scenarios &amp; Measures'!$P$29</f>
        <v>68639.285254530609</v>
      </c>
      <c r="E69" s="84"/>
      <c r="F69" s="85">
        <f>'Scenarios &amp; Measures'!$P$54</f>
        <v>0</v>
      </c>
      <c r="G69" s="122">
        <f t="shared" si="15"/>
        <v>-68639.285254530609</v>
      </c>
      <c r="H69" s="84"/>
      <c r="I69" s="85">
        <f>'Scenarios &amp; Measures'!$P$79</f>
        <v>0</v>
      </c>
      <c r="J69" s="122">
        <f t="shared" si="16"/>
        <v>-68639.285254530609</v>
      </c>
      <c r="K69" s="84"/>
      <c r="L69" s="85">
        <f>'Scenarios &amp; Measures'!$P$104</f>
        <v>0</v>
      </c>
      <c r="M69" s="122">
        <f t="shared" ref="M69:M72" si="18">L69-$D69</f>
        <v>-68639.285254530609</v>
      </c>
      <c r="N69" s="27" t="s">
        <v>458</v>
      </c>
      <c r="O69" s="27"/>
      <c r="P69" s="132"/>
    </row>
    <row r="70" spans="1:16" ht="17.25" customHeight="1" x14ac:dyDescent="0.35">
      <c r="A70" s="132"/>
      <c r="B70" s="27"/>
      <c r="C70" s="67" t="s">
        <v>276</v>
      </c>
      <c r="D70" s="90">
        <f>-D59-D62-D65-D66-D68+D69</f>
        <v>-1096628.4266189509</v>
      </c>
      <c r="E70" s="91"/>
      <c r="F70" s="90">
        <f>-F59-F62-F65-F66-F68+F69</f>
        <v>0</v>
      </c>
      <c r="G70" s="123">
        <f t="shared" si="15"/>
        <v>1096628.4266189509</v>
      </c>
      <c r="H70" s="91"/>
      <c r="I70" s="90">
        <f>-I59-I62-I65-I66-I68+I69</f>
        <v>0</v>
      </c>
      <c r="J70" s="123">
        <f t="shared" si="16"/>
        <v>1096628.4266189509</v>
      </c>
      <c r="K70" s="91"/>
      <c r="L70" s="90">
        <f>-L59-L62-L65-L66-L68+L69</f>
        <v>0</v>
      </c>
      <c r="M70" s="123">
        <f t="shared" si="18"/>
        <v>1096628.4266189509</v>
      </c>
      <c r="N70" s="28" t="s">
        <v>458</v>
      </c>
      <c r="O70" s="27"/>
      <c r="P70" s="132"/>
    </row>
    <row r="71" spans="1:16" hidden="1" x14ac:dyDescent="0.35">
      <c r="A71" s="136" t="s">
        <v>437</v>
      </c>
      <c r="B71" s="27"/>
      <c r="C71" s="40" t="s">
        <v>433</v>
      </c>
      <c r="D71" s="55">
        <f>D70/$M$10</f>
        <v>-54831.421330947545</v>
      </c>
      <c r="E71" s="63"/>
      <c r="F71" s="55">
        <f>F70/$M$10</f>
        <v>0</v>
      </c>
      <c r="G71" s="51">
        <f t="shared" si="15"/>
        <v>54831.421330947545</v>
      </c>
      <c r="H71" s="63"/>
      <c r="I71" s="55">
        <f>I70/$M$10</f>
        <v>0</v>
      </c>
      <c r="J71" s="51">
        <f t="shared" si="16"/>
        <v>54831.421330947545</v>
      </c>
      <c r="K71" s="63"/>
      <c r="L71" s="55">
        <f>L70/$M$10</f>
        <v>0</v>
      </c>
      <c r="M71" s="51">
        <f t="shared" si="18"/>
        <v>54831.421330947545</v>
      </c>
      <c r="N71" s="27" t="s">
        <v>13</v>
      </c>
      <c r="O71" s="27"/>
      <c r="P71" s="132"/>
    </row>
    <row r="72" spans="1:16" ht="16.5" hidden="1" x14ac:dyDescent="0.35">
      <c r="A72" s="136" t="s">
        <v>437</v>
      </c>
      <c r="B72" s="27"/>
      <c r="C72" s="40" t="s">
        <v>434</v>
      </c>
      <c r="D72" s="57" t="e">
        <f>D70/$M$11</f>
        <v>#DIV/0!</v>
      </c>
      <c r="E72" s="64"/>
      <c r="F72" s="57" t="e">
        <f>F70/$M$11</f>
        <v>#DIV/0!</v>
      </c>
      <c r="G72" s="52" t="e">
        <f t="shared" si="15"/>
        <v>#DIV/0!</v>
      </c>
      <c r="H72" s="64"/>
      <c r="I72" s="57" t="e">
        <f>I70/$M$11</f>
        <v>#DIV/0!</v>
      </c>
      <c r="J72" s="52" t="e">
        <f t="shared" si="16"/>
        <v>#DIV/0!</v>
      </c>
      <c r="K72" s="64"/>
      <c r="L72" s="57" t="e">
        <f>L70/$M$11</f>
        <v>#DIV/0!</v>
      </c>
      <c r="M72" s="52" t="e">
        <f t="shared" si="18"/>
        <v>#DIV/0!</v>
      </c>
      <c r="N72" s="27" t="s">
        <v>410</v>
      </c>
      <c r="O72" s="27"/>
      <c r="P72" s="132"/>
    </row>
    <row r="73" spans="1:16" ht="17.25" customHeight="1" x14ac:dyDescent="0.35">
      <c r="A73" s="132"/>
      <c r="B73" s="27"/>
      <c r="C73" s="40"/>
      <c r="D73" s="40"/>
      <c r="E73" s="56"/>
      <c r="F73" s="40"/>
      <c r="G73" s="40"/>
      <c r="H73" s="56"/>
      <c r="I73" s="40"/>
      <c r="J73" s="40"/>
      <c r="K73" s="56"/>
      <c r="L73" s="40"/>
      <c r="M73" s="113"/>
      <c r="N73" s="40"/>
      <c r="O73" s="27"/>
      <c r="P73" s="132"/>
    </row>
    <row r="74" spans="1:16" ht="17.25" customHeight="1" x14ac:dyDescent="0.45">
      <c r="A74" s="132"/>
      <c r="B74" s="27"/>
      <c r="C74" s="40"/>
      <c r="D74" s="40"/>
      <c r="E74" s="56"/>
      <c r="F74" s="40" t="s">
        <v>311</v>
      </c>
      <c r="G74" s="126">
        <f>IFERROR(-G70/G29, "")</f>
        <v>288.69634906765407</v>
      </c>
      <c r="H74" s="56"/>
      <c r="I74" s="174"/>
      <c r="J74" s="125">
        <f>IFERROR(-J70/J29, "")</f>
        <v>288.69634906765407</v>
      </c>
      <c r="K74" s="92"/>
      <c r="L74" s="174"/>
      <c r="M74" s="125">
        <f>IFERROR(-M70/M29, "")</f>
        <v>288.69634906765407</v>
      </c>
      <c r="N74" s="27" t="s">
        <v>411</v>
      </c>
      <c r="O74" s="27"/>
      <c r="P74" s="132"/>
    </row>
    <row r="75" spans="1:16" ht="17.25" customHeight="1" x14ac:dyDescent="0.35">
      <c r="A75" s="132"/>
      <c r="B75" s="27"/>
      <c r="C75" s="40"/>
      <c r="D75" s="40"/>
      <c r="E75" s="56"/>
      <c r="F75" s="40" t="s">
        <v>435</v>
      </c>
      <c r="G75" s="131" t="str">
        <f>IFERROR(IF(AND(G67&lt;0,G50&lt;0),"Immediate",IF(G67/G50&gt;0, "No payback", ABS(G67/G50))), 0)</f>
        <v>Immediate</v>
      </c>
      <c r="H75" s="92"/>
      <c r="I75" s="174"/>
      <c r="J75" s="131" t="str">
        <f>IFERROR(IF(AND(J67&lt;0,J50&lt;0),"Immediate",IF(J67/J50&gt;0, "No payback", ABS(J67/J50))), 0)</f>
        <v>Immediate</v>
      </c>
      <c r="K75" s="92"/>
      <c r="L75" s="174"/>
      <c r="M75" s="131" t="str">
        <f>IFERROR(IF(AND(M67&lt;0,M50&lt;0),"Immediate",IF(M67/M50&gt;0, "No payback", ABS(M67/M50))), 0)</f>
        <v>Immediate</v>
      </c>
      <c r="N75" s="27" t="s">
        <v>20</v>
      </c>
      <c r="O75" s="27"/>
      <c r="P75" s="132"/>
    </row>
    <row r="76" spans="1:16" ht="17.25" customHeight="1" x14ac:dyDescent="0.35">
      <c r="A76" s="132"/>
      <c r="B76" s="27"/>
      <c r="C76" s="40"/>
      <c r="D76" s="40"/>
      <c r="E76" s="56"/>
      <c r="F76" s="40" t="s">
        <v>436</v>
      </c>
      <c r="G76" s="119" t="str">
        <f>IF('Scenarios &amp; Measures'!$AN$59="NA - see note", "NA - see note", 'Scenarios &amp; Measures'!$AN$57)</f>
        <v>NA - see note</v>
      </c>
      <c r="H76" s="92"/>
      <c r="I76" s="174"/>
      <c r="J76" s="93" t="str">
        <f>IF('Scenarios &amp; Measures'!$AN$84="NA - see note", "NA - see note",  'Scenarios &amp; Measures'!$AN$82)</f>
        <v>NA - see note</v>
      </c>
      <c r="K76" s="92"/>
      <c r="L76" s="174"/>
      <c r="M76" s="93" t="str">
        <f>IF('Scenarios &amp; Measures'!$AN$109="NA - see note", "NA - see note", 'Scenarios &amp; Measures'!$AN$107)</f>
        <v>NA - see note</v>
      </c>
      <c r="N76" s="27" t="s">
        <v>12</v>
      </c>
      <c r="O76" s="27"/>
      <c r="P76" s="132"/>
    </row>
    <row r="77" spans="1:16" ht="14.65" hidden="1" customHeight="1" x14ac:dyDescent="0.35">
      <c r="A77" s="132"/>
      <c r="B77" s="27"/>
      <c r="C77" s="40"/>
      <c r="D77" s="40"/>
      <c r="E77" s="56"/>
      <c r="F77" s="40"/>
      <c r="G77" s="94"/>
      <c r="H77" s="92"/>
      <c r="I77" s="94"/>
      <c r="J77" s="94"/>
      <c r="K77" s="92"/>
      <c r="L77" s="94"/>
      <c r="M77" s="94"/>
      <c r="N77" s="40"/>
      <c r="O77" s="27"/>
      <c r="P77" s="132"/>
    </row>
    <row r="78" spans="1:16" x14ac:dyDescent="0.35">
      <c r="A78" s="132"/>
      <c r="B78" s="27"/>
      <c r="C78" s="49"/>
      <c r="E78" s="65"/>
      <c r="F78" s="56" t="s">
        <v>438</v>
      </c>
      <c r="G78" s="95" t="str">
        <f>IF('Scenarios &amp; Measures'!$J$36&lt;&gt;"",'Scenarios &amp; Measures'!$J$36,"")</f>
        <v/>
      </c>
      <c r="H78" s="96"/>
      <c r="I78" s="92"/>
      <c r="J78" s="95" t="str">
        <f>IF('Scenarios &amp; Measures'!$J$61&lt;&gt;"",'Scenarios &amp; Measures'!$J$61,"")</f>
        <v>Yes - meets ZCB</v>
      </c>
      <c r="K78" s="96"/>
      <c r="L78" s="92"/>
      <c r="M78" s="95" t="str">
        <f>IF('Scenarios &amp; Measures'!$J$86&lt;&gt;"",'Scenarios &amp; Measures'!$J$86,"")</f>
        <v>Yes - meets ZCB</v>
      </c>
      <c r="N78" s="27"/>
      <c r="O78" s="27"/>
      <c r="P78" s="132"/>
    </row>
    <row r="79" spans="1:16" x14ac:dyDescent="0.35">
      <c r="A79" s="132"/>
      <c r="B79" s="27"/>
      <c r="C79" s="49"/>
      <c r="D79" s="27"/>
      <c r="E79" s="49"/>
      <c r="F79" s="27"/>
      <c r="G79" s="27"/>
      <c r="H79" s="49"/>
      <c r="I79" s="27"/>
      <c r="J79" s="27"/>
      <c r="K79" s="49"/>
      <c r="L79" s="27"/>
      <c r="M79" s="27"/>
      <c r="N79" s="27"/>
      <c r="O79" s="27"/>
      <c r="P79" s="132"/>
    </row>
    <row r="80" spans="1:16" ht="30" customHeight="1" x14ac:dyDescent="0.35">
      <c r="A80" s="132"/>
      <c r="B80" s="27"/>
      <c r="C80" s="49"/>
      <c r="D80" s="27"/>
      <c r="E80" s="49"/>
      <c r="F80" s="27"/>
      <c r="G80" s="27"/>
      <c r="H80" s="49"/>
      <c r="I80" s="27"/>
      <c r="J80" s="27"/>
      <c r="K80" s="49"/>
      <c r="L80" s="127"/>
      <c r="M80" s="27"/>
      <c r="N80" s="27"/>
      <c r="O80" s="27"/>
      <c r="P80" s="132"/>
    </row>
    <row r="81" spans="1:16" x14ac:dyDescent="0.35">
      <c r="A81" s="132"/>
      <c r="B81" s="132"/>
      <c r="C81" s="132"/>
      <c r="D81" s="132"/>
      <c r="E81" s="132"/>
      <c r="F81" s="132"/>
      <c r="G81" s="132"/>
      <c r="H81" s="132"/>
      <c r="I81" s="132"/>
      <c r="J81" s="132"/>
      <c r="K81" s="132"/>
      <c r="L81" s="132"/>
      <c r="M81" s="132"/>
      <c r="N81" s="132"/>
      <c r="O81" s="132"/>
      <c r="P81" s="132"/>
    </row>
    <row r="83" spans="1:16" x14ac:dyDescent="0.35">
      <c r="D83" s="21"/>
      <c r="E83" s="21"/>
      <c r="G83" s="24"/>
      <c r="H83" s="21"/>
      <c r="K83" s="21"/>
    </row>
    <row r="85" spans="1:16" x14ac:dyDescent="0.35">
      <c r="F85" s="73"/>
    </row>
  </sheetData>
  <sheetProtection algorithmName="SHA-512" hashValue="4VeVIORlortp7R4BHd+77fVlMVVjuyaa4TFKKlmLlT2yuLOVMDXTKa56BJ/LGIARPRGqSYgfT+/g4194z92tmQ==" saltValue="0d0NXAbEMEtna4SMAH0png==" spinCount="100000" sheet="1" objects="1" scenarios="1"/>
  <mergeCells count="9">
    <mergeCell ref="AB3:AO9"/>
    <mergeCell ref="D13:D14"/>
    <mergeCell ref="D10:G11"/>
    <mergeCell ref="I74:I76"/>
    <mergeCell ref="L74:L76"/>
    <mergeCell ref="L13:M14"/>
    <mergeCell ref="I13:J14"/>
    <mergeCell ref="F13:G14"/>
    <mergeCell ref="H2:O8"/>
  </mergeCells>
  <conditionalFormatting sqref="I20:I22 I33 J31:J33 I24:J28 I57:J61 I34:J38 I63:J69 I40:J55 I71:J72 I74:I76 J16:J29 J39:J51 J59:J70">
    <cfRule type="expression" dxfId="49" priority="62">
      <formula>$I$13=""</formula>
    </cfRule>
  </conditionalFormatting>
  <conditionalFormatting sqref="L20:L22 L24:L28 L57:L61 L33:L38 L63:L69 L40:L55 L71:L72 L74:L76">
    <cfRule type="expression" dxfId="48" priority="61">
      <formula>$L$13=""</formula>
    </cfRule>
  </conditionalFormatting>
  <conditionalFormatting sqref="I16:I19">
    <cfRule type="expression" dxfId="47" priority="59">
      <formula>$I$13=""</formula>
    </cfRule>
  </conditionalFormatting>
  <conditionalFormatting sqref="L16:L19">
    <cfRule type="expression" dxfId="46" priority="58">
      <formula>$L$13=""</formula>
    </cfRule>
  </conditionalFormatting>
  <conditionalFormatting sqref="G24:G26">
    <cfRule type="expression" dxfId="45" priority="57">
      <formula>$F$13=""</formula>
    </cfRule>
  </conditionalFormatting>
  <conditionalFormatting sqref="J24:J26">
    <cfRule type="expression" dxfId="44" priority="56">
      <formula>$I$13=""</formula>
    </cfRule>
  </conditionalFormatting>
  <conditionalFormatting sqref="J50">
    <cfRule type="expression" dxfId="43" priority="54">
      <formula>$F$13=""</formula>
    </cfRule>
  </conditionalFormatting>
  <conditionalFormatting sqref="I16:J22 J16:J29">
    <cfRule type="expression" dxfId="42" priority="50">
      <formula>$I$13=""</formula>
    </cfRule>
  </conditionalFormatting>
  <conditionalFormatting sqref="L16:L22">
    <cfRule type="expression" dxfId="41" priority="49">
      <formula>$L$13=""</formula>
    </cfRule>
  </conditionalFormatting>
  <conditionalFormatting sqref="G78 J78">
    <cfRule type="expression" dxfId="40" priority="48">
      <formula>AND(G78=$R$13)</formula>
    </cfRule>
  </conditionalFormatting>
  <conditionalFormatting sqref="I29:J29">
    <cfRule type="expression" dxfId="39" priority="46">
      <formula>$I$13=""</formula>
    </cfRule>
  </conditionalFormatting>
  <conditionalFormatting sqref="L29">
    <cfRule type="expression" dxfId="38" priority="45">
      <formula>$L$13=""</formula>
    </cfRule>
  </conditionalFormatting>
  <conditionalFormatting sqref="G29">
    <cfRule type="expression" dxfId="37" priority="44">
      <formula>$F$13=""</formula>
    </cfRule>
  </conditionalFormatting>
  <conditionalFormatting sqref="J29">
    <cfRule type="expression" dxfId="36" priority="43">
      <formula>$I$13=""</formula>
    </cfRule>
  </conditionalFormatting>
  <conditionalFormatting sqref="I62:J62">
    <cfRule type="expression" dxfId="35" priority="40">
      <formula>$I$13=""</formula>
    </cfRule>
  </conditionalFormatting>
  <conditionalFormatting sqref="L62">
    <cfRule type="expression" dxfId="34" priority="39">
      <formula>$L$13=""</formula>
    </cfRule>
  </conditionalFormatting>
  <conditionalFormatting sqref="M10">
    <cfRule type="cellIs" dxfId="33" priority="37" operator="notEqual">
      <formula>20</formula>
    </cfRule>
  </conditionalFormatting>
  <conditionalFormatting sqref="M12">
    <cfRule type="expression" dxfId="32" priority="36">
      <formula>OR($M$10&lt;&gt;20,$M$9&lt;&gt;3)</formula>
    </cfRule>
  </conditionalFormatting>
  <conditionalFormatting sqref="M9">
    <cfRule type="cellIs" dxfId="31" priority="35" operator="notEqual">
      <formula>3</formula>
    </cfRule>
  </conditionalFormatting>
  <conditionalFormatting sqref="J74">
    <cfRule type="expression" dxfId="30" priority="34">
      <formula>$F$13=""</formula>
    </cfRule>
  </conditionalFormatting>
  <conditionalFormatting sqref="J76">
    <cfRule type="expression" dxfId="29" priority="32">
      <formula>$F$13=""</formula>
    </cfRule>
  </conditionalFormatting>
  <conditionalFormatting sqref="F16:F70">
    <cfRule type="expression" dxfId="28" priority="25">
      <formula>$F$13=""</formula>
    </cfRule>
  </conditionalFormatting>
  <conditionalFormatting sqref="G16:G74 G76:G78">
    <cfRule type="expression" dxfId="27" priority="24">
      <formula>$F$13=""</formula>
    </cfRule>
  </conditionalFormatting>
  <conditionalFormatting sqref="I16:I70">
    <cfRule type="expression" dxfId="26" priority="23">
      <formula>$I$13=""</formula>
    </cfRule>
  </conditionalFormatting>
  <conditionalFormatting sqref="J16:J74 J76:J78">
    <cfRule type="expression" dxfId="25" priority="22">
      <formula>$I$13=""</formula>
    </cfRule>
  </conditionalFormatting>
  <conditionalFormatting sqref="L16:L70">
    <cfRule type="expression" dxfId="24" priority="21">
      <formula>$L$13=""</formula>
    </cfRule>
  </conditionalFormatting>
  <conditionalFormatting sqref="D16:D70">
    <cfRule type="expression" dxfId="23" priority="19">
      <formula>$D$13=""</formula>
    </cfRule>
  </conditionalFormatting>
  <conditionalFormatting sqref="M16:M29 M31:M55 M57:M72">
    <cfRule type="expression" dxfId="22" priority="18">
      <formula>$I$13=""</formula>
    </cfRule>
  </conditionalFormatting>
  <conditionalFormatting sqref="M24:M26">
    <cfRule type="expression" dxfId="21" priority="17">
      <formula>$I$13=""</formula>
    </cfRule>
  </conditionalFormatting>
  <conditionalFormatting sqref="M50">
    <cfRule type="expression" dxfId="20" priority="16">
      <formula>$F$13=""</formula>
    </cfRule>
  </conditionalFormatting>
  <conditionalFormatting sqref="M16:M29">
    <cfRule type="expression" dxfId="19" priority="15">
      <formula>$I$13=""</formula>
    </cfRule>
  </conditionalFormatting>
  <conditionalFormatting sqref="M78">
    <cfRule type="expression" dxfId="18" priority="14">
      <formula>AND(M78=$R$13)</formula>
    </cfRule>
  </conditionalFormatting>
  <conditionalFormatting sqref="M29">
    <cfRule type="expression" dxfId="17" priority="13">
      <formula>$I$13=""</formula>
    </cfRule>
  </conditionalFormatting>
  <conditionalFormatting sqref="M29">
    <cfRule type="expression" dxfId="16" priority="12">
      <formula>$I$13=""</formula>
    </cfRule>
  </conditionalFormatting>
  <conditionalFormatting sqref="M62">
    <cfRule type="expression" dxfId="15" priority="11">
      <formula>$I$13=""</formula>
    </cfRule>
  </conditionalFormatting>
  <conditionalFormatting sqref="M74">
    <cfRule type="expression" dxfId="14" priority="10">
      <formula>$F$13=""</formula>
    </cfRule>
  </conditionalFormatting>
  <conditionalFormatting sqref="M76">
    <cfRule type="expression" dxfId="13" priority="9">
      <formula>$F$13=""</formula>
    </cfRule>
  </conditionalFormatting>
  <conditionalFormatting sqref="M16:M74 M76:M78">
    <cfRule type="expression" dxfId="12" priority="7">
      <formula>$I$13=""</formula>
    </cfRule>
  </conditionalFormatting>
  <conditionalFormatting sqref="G75">
    <cfRule type="expression" dxfId="11" priority="6">
      <formula>$F$13=""</formula>
    </cfRule>
  </conditionalFormatting>
  <conditionalFormatting sqref="G75">
    <cfRule type="expression" dxfId="10" priority="5">
      <formula>$F$13=""</formula>
    </cfRule>
  </conditionalFormatting>
  <conditionalFormatting sqref="J75">
    <cfRule type="expression" dxfId="9" priority="4">
      <formula>$F$13=""</formula>
    </cfRule>
  </conditionalFormatting>
  <conditionalFormatting sqref="J75">
    <cfRule type="expression" dxfId="8" priority="3">
      <formula>$F$13=""</formula>
    </cfRule>
  </conditionalFormatting>
  <conditionalFormatting sqref="M75">
    <cfRule type="expression" dxfId="7" priority="2">
      <formula>$F$13=""</formula>
    </cfRule>
  </conditionalFormatting>
  <conditionalFormatting sqref="M75">
    <cfRule type="expression" dxfId="6" priority="1">
      <formula>$F$13=""</formula>
    </cfRule>
  </conditionalFormatting>
  <pageMargins left="0.70866141732283472" right="0.70866141732283472" top="0.74803149606299213" bottom="0.74803149606299213" header="0.31496062992125984" footer="0.31496062992125984"/>
  <pageSetup scale="37" orientation="portrait" r:id="rId1"/>
  <ignoredErrors>
    <ignoredError sqref="D54 D46 F54:G54 I54:J54 L54 L50:M50 I50:J50 G50 I20:I21 L20:L21 G22:G23 J22:J23 G35 G40 G45 G48 G53 G55 I34 I47 I52 J35 J40 J45 J48 J53 J55 L47 L52 G57:G59 G62 G65:G66 G70:G72 J69:J72 I69 L69 L67 I67 J57:J66 J67 G27:G29 J27:J29 M23" formula="1"/>
    <ignoredError sqref="F26 D26 G16:G17 F18 D18:E18 E17 J16:K17 K18:M18 M16:M17 E16 H16 H18:I18 H17 K24:M26 I26 E51 H51 K51 L74 L76 L75 K74 M74 E19 H19 K75 K76 K19 M19 M51 K23:L23 H75:I75 H76:I76 G74 I74:J74" evalError="1"/>
    <ignoredError sqref="G24:G26 J18:J19 G18:G19 J24:J26 J51 G51" evalError="1"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BCC5-BE83-42D8-B89F-0980AA3F34D9}">
  <dimension ref="B1:L36"/>
  <sheetViews>
    <sheetView showGridLines="0" showRowColHeaders="0" topLeftCell="A20" workbookViewId="0">
      <selection activeCell="A20" sqref="A20"/>
    </sheetView>
  </sheetViews>
  <sheetFormatPr defaultRowHeight="14.5" x14ac:dyDescent="0.35"/>
  <cols>
    <col min="1" max="1" width="3" customWidth="1"/>
    <col min="2" max="2" width="20.453125" bestFit="1" customWidth="1"/>
    <col min="3" max="3" width="20.81640625" customWidth="1"/>
    <col min="4" max="4" width="15.7265625" customWidth="1"/>
    <col min="5" max="6" width="15.81640625" customWidth="1"/>
    <col min="7" max="7" width="13.54296875" customWidth="1"/>
    <col min="8" max="8" width="13.7265625" bestFit="1" customWidth="1"/>
    <col min="10" max="10" width="27.54296875" bestFit="1" customWidth="1"/>
    <col min="11" max="11" width="14.453125" bestFit="1" customWidth="1"/>
    <col min="12" max="12" width="13.7265625" bestFit="1" customWidth="1"/>
  </cols>
  <sheetData>
    <row r="1" spans="2:12" ht="16.5" hidden="1" x14ac:dyDescent="0.45">
      <c r="B1" s="1"/>
      <c r="C1" s="179" t="s">
        <v>37</v>
      </c>
      <c r="D1" s="179"/>
      <c r="E1" s="179"/>
      <c r="F1" s="179"/>
      <c r="G1" s="179"/>
      <c r="H1" s="1"/>
      <c r="I1" s="1"/>
      <c r="J1" s="1"/>
      <c r="K1" s="1"/>
      <c r="L1" s="1"/>
    </row>
    <row r="2" spans="2:12" ht="16.5" hidden="1" x14ac:dyDescent="0.45">
      <c r="B2" s="1"/>
      <c r="C2" s="1" t="s">
        <v>38</v>
      </c>
      <c r="D2" s="1" t="s">
        <v>39</v>
      </c>
      <c r="E2" s="1" t="s">
        <v>40</v>
      </c>
      <c r="F2" s="1" t="s">
        <v>41</v>
      </c>
      <c r="G2" s="1" t="s">
        <v>42</v>
      </c>
      <c r="H2" s="1"/>
      <c r="I2" s="1"/>
      <c r="J2" s="1"/>
      <c r="K2" s="1" t="s">
        <v>37</v>
      </c>
      <c r="L2" s="1"/>
    </row>
    <row r="3" spans="2:12" hidden="1" x14ac:dyDescent="0.35">
      <c r="B3" s="1" t="s">
        <v>43</v>
      </c>
      <c r="C3" s="1"/>
      <c r="D3" s="1"/>
      <c r="E3" s="1"/>
      <c r="F3" s="1"/>
      <c r="G3" s="1"/>
      <c r="H3" s="1"/>
      <c r="I3" s="1"/>
      <c r="J3" s="1" t="s">
        <v>43</v>
      </c>
      <c r="K3" s="1"/>
      <c r="L3" s="1"/>
    </row>
    <row r="4" spans="2:12" hidden="1" x14ac:dyDescent="0.35">
      <c r="B4" s="1" t="s">
        <v>44</v>
      </c>
      <c r="C4" s="1">
        <v>257.91000000000003</v>
      </c>
      <c r="D4" s="1">
        <v>137.57</v>
      </c>
      <c r="E4" s="2">
        <v>219.80340783203502</v>
      </c>
      <c r="F4" s="2">
        <v>38.106592167965005</v>
      </c>
      <c r="G4" s="1">
        <v>53.24</v>
      </c>
      <c r="H4" s="1"/>
      <c r="I4" s="1"/>
      <c r="J4" s="1" t="s">
        <v>21</v>
      </c>
      <c r="K4" s="1">
        <v>88.54</v>
      </c>
      <c r="L4" s="1"/>
    </row>
    <row r="5" spans="2:12" hidden="1" x14ac:dyDescent="0.35">
      <c r="B5" s="1" t="s">
        <v>45</v>
      </c>
      <c r="C5" s="1">
        <v>4.8899999999999997</v>
      </c>
      <c r="D5" s="1">
        <v>151.53</v>
      </c>
      <c r="E5" s="2">
        <v>4.3960681566407009</v>
      </c>
      <c r="F5" s="2">
        <v>0.49393184335929874</v>
      </c>
      <c r="G5" s="1">
        <v>53.19</v>
      </c>
      <c r="H5" s="1"/>
      <c r="I5" s="1"/>
      <c r="J5" s="1" t="s">
        <v>46</v>
      </c>
      <c r="K5" s="1">
        <v>88.54</v>
      </c>
      <c r="L5" s="1"/>
    </row>
    <row r="6" spans="2:12" hidden="1" x14ac:dyDescent="0.35">
      <c r="B6" s="1" t="s">
        <v>47</v>
      </c>
      <c r="C6" s="1">
        <v>1.03</v>
      </c>
      <c r="D6" s="1">
        <v>365.56</v>
      </c>
      <c r="E6" s="2">
        <v>0.90852075237241148</v>
      </c>
      <c r="F6" s="2">
        <v>0.12147924762758855</v>
      </c>
      <c r="G6" s="1">
        <v>52.09</v>
      </c>
      <c r="H6" s="1"/>
      <c r="I6" s="1"/>
      <c r="J6" s="1" t="s">
        <v>48</v>
      </c>
      <c r="K6" s="1">
        <v>17.190000000000001</v>
      </c>
      <c r="L6" s="1"/>
    </row>
    <row r="7" spans="2:12" hidden="1" x14ac:dyDescent="0.35">
      <c r="B7" s="1" t="s">
        <v>49</v>
      </c>
      <c r="C7" s="1">
        <v>84.11</v>
      </c>
      <c r="D7" s="1">
        <v>185.27</v>
      </c>
      <c r="E7" s="2">
        <v>84.109999999999985</v>
      </c>
      <c r="F7" s="2">
        <v>0</v>
      </c>
      <c r="G7" s="1">
        <v>52.5</v>
      </c>
      <c r="H7" s="1"/>
      <c r="I7" s="1"/>
      <c r="J7" s="1" t="s">
        <v>50</v>
      </c>
      <c r="K7" s="1">
        <v>73.86</v>
      </c>
      <c r="L7" s="1"/>
    </row>
    <row r="8" spans="2:12" hidden="1" x14ac:dyDescent="0.35">
      <c r="B8" s="1" t="s">
        <v>51</v>
      </c>
      <c r="C8" s="1">
        <v>9.09</v>
      </c>
      <c r="D8" s="1">
        <v>109.23</v>
      </c>
      <c r="E8" s="2">
        <v>8.7921363132814019</v>
      </c>
      <c r="F8" s="2">
        <v>0.29786368671859798</v>
      </c>
      <c r="G8" s="1">
        <v>52.5</v>
      </c>
      <c r="H8" s="1"/>
      <c r="I8" s="1"/>
      <c r="J8" s="1" t="s">
        <v>52</v>
      </c>
      <c r="K8" s="1">
        <v>49.29</v>
      </c>
      <c r="L8" s="1"/>
    </row>
    <row r="9" spans="2:12" hidden="1" x14ac:dyDescent="0.35">
      <c r="B9" s="1" t="s">
        <v>53</v>
      </c>
      <c r="C9" s="1">
        <v>87.92</v>
      </c>
      <c r="D9" s="1">
        <v>258.27</v>
      </c>
      <c r="E9" s="2">
        <v>73.267802610678345</v>
      </c>
      <c r="F9" s="2">
        <v>14.652197389321657</v>
      </c>
      <c r="G9" s="1">
        <v>68.010000000000005</v>
      </c>
      <c r="H9" s="1"/>
      <c r="I9" s="1"/>
      <c r="J9" s="1" t="s">
        <v>54</v>
      </c>
      <c r="K9" s="1">
        <v>100.95</v>
      </c>
      <c r="L9" s="1"/>
    </row>
    <row r="10" spans="2:12" hidden="1" x14ac:dyDescent="0.35">
      <c r="B10" s="1" t="s">
        <v>55</v>
      </c>
      <c r="C10" s="1">
        <v>213.95</v>
      </c>
      <c r="D10" s="1">
        <v>208.67</v>
      </c>
      <c r="E10" s="2">
        <v>199.28842310104508</v>
      </c>
      <c r="F10" s="2">
        <v>14.661576898954905</v>
      </c>
      <c r="G10" s="1">
        <v>52.5</v>
      </c>
      <c r="H10" s="1"/>
      <c r="I10" s="1"/>
      <c r="J10" s="1" t="s">
        <v>56</v>
      </c>
      <c r="K10" s="1">
        <v>64.52</v>
      </c>
      <c r="L10" s="1"/>
    </row>
    <row r="11" spans="2:12" hidden="1" x14ac:dyDescent="0.35">
      <c r="B11" s="1" t="s">
        <v>57</v>
      </c>
      <c r="C11" s="1">
        <v>219.81</v>
      </c>
      <c r="D11" s="1">
        <v>258.27</v>
      </c>
      <c r="E11" s="2">
        <v>219.81</v>
      </c>
      <c r="F11" s="2">
        <v>0</v>
      </c>
      <c r="G11" s="1">
        <v>68.010000000000005</v>
      </c>
      <c r="H11" s="1"/>
      <c r="I11" s="1"/>
      <c r="J11" s="1" t="s">
        <v>58</v>
      </c>
      <c r="K11" s="1">
        <v>75.13</v>
      </c>
      <c r="L11" s="1"/>
    </row>
    <row r="12" spans="2:12" hidden="1" x14ac:dyDescent="0.35">
      <c r="B12" s="1" t="s">
        <v>59</v>
      </c>
      <c r="C12" s="1">
        <v>11.72</v>
      </c>
      <c r="D12" s="1">
        <v>115.56</v>
      </c>
      <c r="E12" s="2">
        <v>11.136705996823109</v>
      </c>
      <c r="F12" s="2">
        <v>0.58329400317689206</v>
      </c>
      <c r="G12" s="1">
        <v>52.14</v>
      </c>
      <c r="H12" s="1"/>
      <c r="I12" s="1"/>
      <c r="J12" s="1" t="s">
        <v>60</v>
      </c>
      <c r="K12" s="1">
        <v>75.13</v>
      </c>
      <c r="L12" s="1"/>
    </row>
    <row r="13" spans="2:12" hidden="1" x14ac:dyDescent="0.35">
      <c r="B13" s="1" t="s">
        <v>61</v>
      </c>
      <c r="C13" s="1">
        <v>84.11</v>
      </c>
      <c r="D13" s="1">
        <v>228.88</v>
      </c>
      <c r="E13" s="2">
        <v>84.109999999999985</v>
      </c>
      <c r="F13" s="2">
        <v>0</v>
      </c>
      <c r="G13" s="1">
        <v>52.5</v>
      </c>
      <c r="H13" s="1"/>
      <c r="I13" s="1"/>
      <c r="J13" s="1" t="s">
        <v>62</v>
      </c>
      <c r="K13" s="1">
        <v>75.13</v>
      </c>
      <c r="L13" s="1"/>
    </row>
    <row r="14" spans="2:12" hidden="1" x14ac:dyDescent="0.35">
      <c r="B14" s="1" t="s">
        <v>63</v>
      </c>
      <c r="C14" s="1">
        <v>0.47</v>
      </c>
      <c r="D14" s="1">
        <v>96.97</v>
      </c>
      <c r="E14" s="2">
        <v>0.4102996946197987</v>
      </c>
      <c r="F14" s="2">
        <v>5.9700305380201268E-2</v>
      </c>
      <c r="G14" s="1">
        <v>52.12</v>
      </c>
      <c r="H14" s="1"/>
      <c r="I14" s="1"/>
      <c r="J14" s="1" t="s">
        <v>64</v>
      </c>
      <c r="K14" s="1">
        <v>78.86</v>
      </c>
      <c r="L14" s="1"/>
    </row>
    <row r="15" spans="2:12" hidden="1" x14ac:dyDescent="0.35">
      <c r="B15" s="1" t="s">
        <v>65</v>
      </c>
      <c r="C15" s="1">
        <v>263.77</v>
      </c>
      <c r="D15" s="1">
        <v>152.72999999999999</v>
      </c>
      <c r="E15" s="2">
        <v>222.73411993646218</v>
      </c>
      <c r="F15" s="2">
        <v>41.035880063537803</v>
      </c>
      <c r="G15" s="1">
        <v>50.53</v>
      </c>
      <c r="H15" s="1"/>
      <c r="I15" s="1"/>
      <c r="J15" s="1" t="s">
        <v>66</v>
      </c>
      <c r="K15" s="1">
        <v>77.48</v>
      </c>
      <c r="L15" s="1"/>
    </row>
    <row r="16" spans="2:12" hidden="1" x14ac:dyDescent="0.35">
      <c r="B16" s="1" t="s">
        <v>67</v>
      </c>
      <c r="C16" s="1">
        <v>12.02</v>
      </c>
      <c r="D16" s="1">
        <v>258.27</v>
      </c>
      <c r="E16" s="2">
        <v>11.722848417708535</v>
      </c>
      <c r="F16" s="2">
        <v>0.29715158229146432</v>
      </c>
      <c r="G16" s="1">
        <v>52.5</v>
      </c>
      <c r="H16" s="1"/>
      <c r="I16" s="1"/>
      <c r="J16" s="1" t="s">
        <v>68</v>
      </c>
      <c r="K16" s="1">
        <v>71.959999999999994</v>
      </c>
      <c r="L16" s="1"/>
    </row>
    <row r="17" spans="2:12" hidden="1" x14ac:dyDescent="0.35">
      <c r="B17" s="1"/>
      <c r="C17" s="1"/>
      <c r="D17" s="1"/>
      <c r="E17" s="1"/>
      <c r="F17" s="1"/>
      <c r="G17" s="1"/>
      <c r="H17" s="1"/>
      <c r="I17" s="1"/>
      <c r="J17" s="1"/>
      <c r="K17" s="1"/>
      <c r="L17" s="1"/>
    </row>
    <row r="18" spans="2:12" hidden="1" x14ac:dyDescent="0.35">
      <c r="B18" s="1"/>
      <c r="C18" s="1"/>
      <c r="D18" s="1"/>
      <c r="E18" s="1"/>
      <c r="F18" s="1"/>
      <c r="G18" s="1"/>
      <c r="H18" s="1"/>
      <c r="I18" s="1"/>
      <c r="J18" s="1"/>
      <c r="K18" s="1"/>
      <c r="L18" s="1"/>
    </row>
    <row r="19" spans="2:12" hidden="1" x14ac:dyDescent="0.35">
      <c r="B19" s="1"/>
      <c r="C19" s="1"/>
      <c r="D19" s="1"/>
      <c r="E19" s="1"/>
      <c r="F19" s="1"/>
      <c r="G19" s="1"/>
      <c r="H19" s="1"/>
      <c r="I19" s="1"/>
      <c r="J19" s="1"/>
      <c r="K19" s="1"/>
      <c r="L19" s="1"/>
    </row>
    <row r="20" spans="2:12" ht="15" thickBot="1" x14ac:dyDescent="0.4">
      <c r="B20" s="1"/>
      <c r="C20" s="1"/>
      <c r="D20" s="1"/>
      <c r="E20" s="1"/>
      <c r="F20" s="1"/>
      <c r="G20" s="1"/>
      <c r="H20" s="1"/>
      <c r="I20" s="1"/>
      <c r="J20" s="1"/>
      <c r="K20" s="1"/>
      <c r="L20" s="1"/>
    </row>
    <row r="21" spans="2:12" ht="33" customHeight="1" thickBot="1" x14ac:dyDescent="0.5">
      <c r="B21" s="183"/>
      <c r="C21" s="180" t="s">
        <v>485</v>
      </c>
      <c r="D21" s="180"/>
      <c r="E21" s="180"/>
      <c r="F21" s="180"/>
      <c r="G21" s="139" t="s">
        <v>486</v>
      </c>
      <c r="H21" s="140" t="s">
        <v>487</v>
      </c>
      <c r="I21" s="3"/>
      <c r="J21" s="1"/>
      <c r="K21" s="1"/>
      <c r="L21" s="1"/>
    </row>
    <row r="22" spans="2:12" ht="75" customHeight="1" x14ac:dyDescent="0.45">
      <c r="B22" s="184"/>
      <c r="C22" s="137" t="s">
        <v>490</v>
      </c>
      <c r="D22" s="137" t="s">
        <v>489</v>
      </c>
      <c r="E22" s="137" t="s">
        <v>488</v>
      </c>
      <c r="F22" s="137" t="s">
        <v>492</v>
      </c>
      <c r="G22" s="181" t="s">
        <v>491</v>
      </c>
      <c r="H22" s="182"/>
      <c r="I22" s="1"/>
      <c r="J22" s="142"/>
      <c r="K22" s="141" t="s">
        <v>486</v>
      </c>
      <c r="L22" s="138" t="s">
        <v>487</v>
      </c>
    </row>
    <row r="23" spans="2:12" x14ac:dyDescent="0.35">
      <c r="B23" s="143" t="s">
        <v>44</v>
      </c>
      <c r="C23" s="144">
        <v>880.0250274</v>
      </c>
      <c r="D23" s="144">
        <v>469.40809979999995</v>
      </c>
      <c r="E23" s="144">
        <v>750</v>
      </c>
      <c r="F23" s="144">
        <v>130.0250274</v>
      </c>
      <c r="G23" s="144">
        <v>50.461777079999997</v>
      </c>
      <c r="H23" s="145">
        <f>G23/277.778</f>
        <v>0.18166225215819826</v>
      </c>
      <c r="I23" s="146"/>
      <c r="J23" s="143" t="s">
        <v>353</v>
      </c>
      <c r="K23" s="144">
        <v>83.919717180000006</v>
      </c>
      <c r="L23" s="145">
        <f>K23/277.778</f>
        <v>0.30211074015940786</v>
      </c>
    </row>
    <row r="24" spans="2:12" x14ac:dyDescent="0.35">
      <c r="B24" s="143" t="s">
        <v>45</v>
      </c>
      <c r="C24" s="144">
        <v>16.685364599999996</v>
      </c>
      <c r="D24" s="144">
        <v>517.04157420000001</v>
      </c>
      <c r="E24" s="144">
        <v>15</v>
      </c>
      <c r="F24" s="144">
        <v>1.6853645999999962</v>
      </c>
      <c r="G24" s="144">
        <v>50.414386229999998</v>
      </c>
      <c r="H24" s="145">
        <f t="shared" ref="H24:H35" si="0">G24/277.778</f>
        <v>0.18149164523468378</v>
      </c>
      <c r="I24" s="147"/>
      <c r="J24" s="143" t="s">
        <v>392</v>
      </c>
      <c r="K24" s="144">
        <v>83.919717180000006</v>
      </c>
      <c r="L24" s="145">
        <f t="shared" ref="L24:L35" si="1">K24/277.778</f>
        <v>0.30211074015940786</v>
      </c>
    </row>
    <row r="25" spans="2:12" x14ac:dyDescent="0.35">
      <c r="B25" s="143" t="s">
        <v>47</v>
      </c>
      <c r="C25" s="144">
        <v>3.5145041999999997</v>
      </c>
      <c r="D25" s="144">
        <v>1247.3418984</v>
      </c>
      <c r="E25" s="144">
        <v>3.1</v>
      </c>
      <c r="F25" s="144">
        <v>0.41450419999999966</v>
      </c>
      <c r="G25" s="144">
        <v>49.371787529999999</v>
      </c>
      <c r="H25" s="145">
        <f t="shared" si="0"/>
        <v>0.17773829291736565</v>
      </c>
      <c r="I25" s="147"/>
      <c r="J25" s="143" t="s">
        <v>355</v>
      </c>
      <c r="K25" s="144">
        <v>16.292974230000002</v>
      </c>
      <c r="L25" s="145">
        <f t="shared" si="1"/>
        <v>5.8654660304271758E-2</v>
      </c>
    </row>
    <row r="26" spans="2:12" x14ac:dyDescent="0.35">
      <c r="B26" s="143" t="s">
        <v>49</v>
      </c>
      <c r="C26" s="144">
        <v>286.99509539999997</v>
      </c>
      <c r="D26" s="144">
        <v>632.1671778000001</v>
      </c>
      <c r="E26" s="144">
        <v>286.99509539999997</v>
      </c>
      <c r="F26" s="144">
        <v>0</v>
      </c>
      <c r="G26" s="144">
        <v>49.760392500000002</v>
      </c>
      <c r="H26" s="145">
        <f t="shared" si="0"/>
        <v>0.17913726969018423</v>
      </c>
      <c r="I26" s="147"/>
      <c r="J26" s="143" t="s">
        <v>356</v>
      </c>
      <c r="K26" s="144">
        <v>70.005763619999996</v>
      </c>
      <c r="L26" s="145">
        <f t="shared" si="1"/>
        <v>0.25202054741556201</v>
      </c>
    </row>
    <row r="27" spans="2:12" x14ac:dyDescent="0.35">
      <c r="B27" s="143" t="s">
        <v>51</v>
      </c>
      <c r="C27" s="144">
        <v>31.016352599999998</v>
      </c>
      <c r="D27" s="144">
        <v>372.7080522</v>
      </c>
      <c r="E27" s="144">
        <v>30</v>
      </c>
      <c r="F27" s="144">
        <v>1.0163525999999976</v>
      </c>
      <c r="G27" s="144">
        <v>49.760392500000002</v>
      </c>
      <c r="H27" s="145">
        <f t="shared" si="0"/>
        <v>0.17913726969018423</v>
      </c>
      <c r="I27" s="147"/>
      <c r="J27" s="143" t="s">
        <v>357</v>
      </c>
      <c r="K27" s="144">
        <v>46.717899930000002</v>
      </c>
      <c r="L27" s="145">
        <f t="shared" si="1"/>
        <v>0.16818430520055583</v>
      </c>
    </row>
    <row r="28" spans="2:12" x14ac:dyDescent="0.35">
      <c r="B28" s="143" t="s">
        <v>53</v>
      </c>
      <c r="C28" s="144">
        <v>299.99534879999999</v>
      </c>
      <c r="D28" s="144">
        <v>881.2533977999999</v>
      </c>
      <c r="E28" s="144">
        <v>250</v>
      </c>
      <c r="F28" s="144">
        <v>49.995348799999988</v>
      </c>
      <c r="G28" s="144">
        <v>64.461034170000005</v>
      </c>
      <c r="H28" s="145">
        <f t="shared" si="0"/>
        <v>0.2320595373643701</v>
      </c>
      <c r="I28" s="147"/>
      <c r="J28" s="143" t="s">
        <v>54</v>
      </c>
      <c r="K28" s="144">
        <v>95.682126150000002</v>
      </c>
      <c r="L28" s="145">
        <f t="shared" si="1"/>
        <v>0.34445537857569714</v>
      </c>
    </row>
    <row r="29" spans="2:12" x14ac:dyDescent="0.35">
      <c r="B29" s="143" t="s">
        <v>55</v>
      </c>
      <c r="C29" s="144">
        <v>730.02735299999983</v>
      </c>
      <c r="D29" s="144">
        <v>712.01125379999996</v>
      </c>
      <c r="E29" s="144">
        <v>680</v>
      </c>
      <c r="F29" s="144">
        <v>50.027352999999835</v>
      </c>
      <c r="G29" s="144">
        <v>49.760392500000002</v>
      </c>
      <c r="H29" s="145">
        <f t="shared" si="0"/>
        <v>0.17913726969018423</v>
      </c>
      <c r="I29" s="147"/>
      <c r="J29" s="143" t="s">
        <v>56</v>
      </c>
      <c r="K29" s="144">
        <v>61.153152839999997</v>
      </c>
      <c r="L29" s="145">
        <f t="shared" si="1"/>
        <v>0.2201511741030607</v>
      </c>
    </row>
    <row r="30" spans="2:12" x14ac:dyDescent="0.35">
      <c r="B30" s="143" t="s">
        <v>57</v>
      </c>
      <c r="C30" s="144">
        <v>750.02249340000003</v>
      </c>
      <c r="D30" s="144">
        <v>881.2533977999999</v>
      </c>
      <c r="E30" s="144">
        <v>750.02249340000003</v>
      </c>
      <c r="F30" s="144">
        <v>0</v>
      </c>
      <c r="G30" s="144">
        <v>64.461034170000005</v>
      </c>
      <c r="H30" s="145">
        <f t="shared" si="0"/>
        <v>0.2320595373643701</v>
      </c>
      <c r="I30" s="147"/>
      <c r="J30" s="143" t="s">
        <v>348</v>
      </c>
      <c r="K30" s="144">
        <v>71.209491209999996</v>
      </c>
      <c r="L30" s="145">
        <f t="shared" si="1"/>
        <v>0.25635396327282933</v>
      </c>
    </row>
    <row r="31" spans="2:12" x14ac:dyDescent="0.35">
      <c r="B31" s="143" t="s">
        <v>59</v>
      </c>
      <c r="C31" s="144">
        <v>39.990280800000001</v>
      </c>
      <c r="D31" s="144">
        <v>394.30689840000002</v>
      </c>
      <c r="E31" s="144">
        <v>38</v>
      </c>
      <c r="F31" s="144">
        <v>1.9902808000000007</v>
      </c>
      <c r="G31" s="144">
        <v>49.419178379999998</v>
      </c>
      <c r="H31" s="145">
        <f t="shared" si="0"/>
        <v>0.1779088998408801</v>
      </c>
      <c r="I31" s="147"/>
      <c r="J31" s="143" t="s">
        <v>349</v>
      </c>
      <c r="K31" s="144">
        <v>71.209491209999996</v>
      </c>
      <c r="L31" s="145">
        <f t="shared" si="1"/>
        <v>0.25635396327282933</v>
      </c>
    </row>
    <row r="32" spans="2:12" x14ac:dyDescent="0.35">
      <c r="B32" s="143" t="s">
        <v>61</v>
      </c>
      <c r="C32" s="144">
        <v>286.99509539999997</v>
      </c>
      <c r="D32" s="144">
        <v>780.97060320000003</v>
      </c>
      <c r="E32" s="144">
        <v>286.99509539999997</v>
      </c>
      <c r="F32" s="144">
        <v>0</v>
      </c>
      <c r="G32" s="144">
        <v>49.760392500000002</v>
      </c>
      <c r="H32" s="145">
        <f t="shared" si="0"/>
        <v>0.17913726969018423</v>
      </c>
      <c r="I32" s="147"/>
      <c r="J32" s="143" t="s">
        <v>350</v>
      </c>
      <c r="K32" s="144">
        <v>71.209491209999996</v>
      </c>
      <c r="L32" s="145">
        <f t="shared" si="1"/>
        <v>0.25635396327282933</v>
      </c>
    </row>
    <row r="33" spans="2:12" x14ac:dyDescent="0.35">
      <c r="B33" s="143" t="s">
        <v>63</v>
      </c>
      <c r="C33" s="144">
        <v>1.6037058</v>
      </c>
      <c r="D33" s="144">
        <v>330.87521579999998</v>
      </c>
      <c r="E33" s="144">
        <v>1.4</v>
      </c>
      <c r="F33" s="144">
        <v>0.20370580000000005</v>
      </c>
      <c r="G33" s="144">
        <v>49.400222040000003</v>
      </c>
      <c r="H33" s="145">
        <f t="shared" si="0"/>
        <v>0.17784065707147434</v>
      </c>
      <c r="I33" s="147"/>
      <c r="J33" s="143" t="s">
        <v>351</v>
      </c>
      <c r="K33" s="144">
        <v>74.744848619999999</v>
      </c>
      <c r="L33" s="145">
        <f t="shared" si="1"/>
        <v>0.26908123976700815</v>
      </c>
    </row>
    <row r="34" spans="2:12" x14ac:dyDescent="0.35">
      <c r="B34" s="143" t="s">
        <v>65</v>
      </c>
      <c r="C34" s="144">
        <v>900.02016779999997</v>
      </c>
      <c r="D34" s="144">
        <v>521.13614219999999</v>
      </c>
      <c r="E34" s="144">
        <v>760</v>
      </c>
      <c r="F34" s="144">
        <v>140.02016779999997</v>
      </c>
      <c r="G34" s="144">
        <v>47.893193010000005</v>
      </c>
      <c r="H34" s="145">
        <f t="shared" si="0"/>
        <v>0.17241535690371448</v>
      </c>
      <c r="I34" s="147"/>
      <c r="J34" s="143" t="s">
        <v>66</v>
      </c>
      <c r="K34" s="144">
        <v>73.436861160000007</v>
      </c>
      <c r="L34" s="145">
        <f t="shared" si="1"/>
        <v>0.26437248867800905</v>
      </c>
    </row>
    <row r="35" spans="2:12" ht="15" thickBot="1" x14ac:dyDescent="0.4">
      <c r="B35" s="148" t="s">
        <v>67</v>
      </c>
      <c r="C35" s="149">
        <v>41.013922800000003</v>
      </c>
      <c r="D35" s="149">
        <v>881.2533977999999</v>
      </c>
      <c r="E35" s="149">
        <v>40</v>
      </c>
      <c r="F35" s="149">
        <v>1.0139228000000031</v>
      </c>
      <c r="G35" s="149">
        <v>49.760392500000002</v>
      </c>
      <c r="H35" s="150">
        <f t="shared" si="0"/>
        <v>0.17913726969018423</v>
      </c>
      <c r="I35" s="147"/>
      <c r="J35" s="148" t="s">
        <v>68</v>
      </c>
      <c r="K35" s="149">
        <v>68.204911319999994</v>
      </c>
      <c r="L35" s="150">
        <f t="shared" si="1"/>
        <v>0.2455374843220125</v>
      </c>
    </row>
    <row r="36" spans="2:12" x14ac:dyDescent="0.35">
      <c r="B36" s="1"/>
      <c r="C36" s="1"/>
      <c r="D36" s="1"/>
      <c r="E36" s="1"/>
      <c r="F36" s="1"/>
      <c r="G36" s="1"/>
      <c r="H36" s="1"/>
      <c r="I36" s="1"/>
      <c r="J36" s="1"/>
      <c r="K36" s="1"/>
      <c r="L36" s="1"/>
    </row>
  </sheetData>
  <sheetProtection algorithmName="SHA-512" hashValue="io8gRWJI/rRkcPujr7SLHM/cqo/PsL90gszDiXfDXApm0NmSJfCVo6tDWyT+6StN/qHHicLURb4Nux4wdZweeA==" saltValue="S7Cm+w9zwFjPmsGDA1I/uw==" spinCount="100000" sheet="1" objects="1" scenarios="1"/>
  <mergeCells count="4">
    <mergeCell ref="C1:G1"/>
    <mergeCell ref="C21:F21"/>
    <mergeCell ref="G22:H22"/>
    <mergeCell ref="B21:B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4BD4-1595-4609-AE7D-C902C9BC75AD}">
  <dimension ref="A1:Q107"/>
  <sheetViews>
    <sheetView workbookViewId="0">
      <selection activeCell="D16" sqref="D16"/>
    </sheetView>
  </sheetViews>
  <sheetFormatPr defaultRowHeight="14.5" x14ac:dyDescent="0.35"/>
  <cols>
    <col min="1" max="1" width="27.54296875" bestFit="1" customWidth="1"/>
    <col min="2" max="2" width="26.26953125" bestFit="1" customWidth="1"/>
    <col min="3" max="3" width="15.1796875" bestFit="1" customWidth="1"/>
    <col min="4" max="4" width="36.7265625" bestFit="1" customWidth="1"/>
    <col min="5" max="5" width="25" bestFit="1" customWidth="1"/>
  </cols>
  <sheetData>
    <row r="1" spans="1:17" x14ac:dyDescent="0.35">
      <c r="A1" s="4" t="s">
        <v>69</v>
      </c>
      <c r="B1" s="1" t="s">
        <v>70</v>
      </c>
      <c r="C1" s="1" t="s">
        <v>1</v>
      </c>
      <c r="D1" s="1" t="s">
        <v>71</v>
      </c>
      <c r="E1" s="1" t="s">
        <v>72</v>
      </c>
    </row>
    <row r="2" spans="1:17" x14ac:dyDescent="0.35">
      <c r="A2" s="5" t="s">
        <v>73</v>
      </c>
      <c r="B2" s="1" t="s">
        <v>74</v>
      </c>
      <c r="C2" s="1" t="s">
        <v>75</v>
      </c>
      <c r="D2" s="1" t="s">
        <v>76</v>
      </c>
      <c r="E2" s="1">
        <v>1</v>
      </c>
      <c r="I2" s="9" t="s">
        <v>218</v>
      </c>
      <c r="K2" s="8" t="s">
        <v>81</v>
      </c>
      <c r="L2" s="26"/>
      <c r="M2" s="26" t="s">
        <v>316</v>
      </c>
      <c r="O2" s="5" t="s">
        <v>73</v>
      </c>
      <c r="Q2" s="5" t="s">
        <v>348</v>
      </c>
    </row>
    <row r="3" spans="1:17" x14ac:dyDescent="0.35">
      <c r="A3" s="5" t="s">
        <v>73</v>
      </c>
      <c r="B3" s="1" t="s">
        <v>74</v>
      </c>
      <c r="C3" s="1" t="s">
        <v>77</v>
      </c>
      <c r="D3" s="1" t="s">
        <v>78</v>
      </c>
      <c r="E3" s="1">
        <v>1000</v>
      </c>
      <c r="I3" s="9" t="s">
        <v>217</v>
      </c>
      <c r="K3" s="8" t="s">
        <v>79</v>
      </c>
      <c r="L3" s="26"/>
      <c r="M3" s="26" t="s">
        <v>317</v>
      </c>
      <c r="O3" s="5" t="s">
        <v>58</v>
      </c>
      <c r="Q3" s="5" t="s">
        <v>349</v>
      </c>
    </row>
    <row r="4" spans="1:17" x14ac:dyDescent="0.35">
      <c r="A4" s="5" t="s">
        <v>73</v>
      </c>
      <c r="B4" s="1" t="s">
        <v>74</v>
      </c>
      <c r="C4" s="1" t="s">
        <v>79</v>
      </c>
      <c r="D4" s="1" t="s">
        <v>80</v>
      </c>
      <c r="E4" s="1">
        <v>1.0309999999999999</v>
      </c>
      <c r="I4" s="9" t="s">
        <v>225</v>
      </c>
      <c r="K4" s="8" t="s">
        <v>89</v>
      </c>
      <c r="L4" s="26"/>
      <c r="M4" s="26" t="s">
        <v>318</v>
      </c>
      <c r="O4" s="5" t="s">
        <v>60</v>
      </c>
      <c r="Q4" s="5" t="s">
        <v>350</v>
      </c>
    </row>
    <row r="5" spans="1:17" x14ac:dyDescent="0.35">
      <c r="A5" s="5" t="s">
        <v>73</v>
      </c>
      <c r="B5" s="1" t="s">
        <v>74</v>
      </c>
      <c r="C5" s="1" t="s">
        <v>81</v>
      </c>
      <c r="D5" s="1" t="s">
        <v>82</v>
      </c>
      <c r="E5" s="1">
        <v>103.143</v>
      </c>
      <c r="I5" s="9" t="s">
        <v>224</v>
      </c>
      <c r="K5" s="8" t="s">
        <v>98</v>
      </c>
      <c r="L5" s="26"/>
      <c r="M5" s="13" t="s">
        <v>319</v>
      </c>
      <c r="O5" s="5" t="s">
        <v>62</v>
      </c>
      <c r="Q5" s="5" t="s">
        <v>351</v>
      </c>
    </row>
    <row r="6" spans="1:17" x14ac:dyDescent="0.35">
      <c r="A6" s="5" t="s">
        <v>73</v>
      </c>
      <c r="B6" s="1" t="s">
        <v>74</v>
      </c>
      <c r="C6" s="1" t="s">
        <v>83</v>
      </c>
      <c r="D6" s="1" t="s">
        <v>84</v>
      </c>
      <c r="E6" s="1">
        <v>1031</v>
      </c>
      <c r="I6" s="9" t="s">
        <v>223</v>
      </c>
      <c r="K6" s="8" t="s">
        <v>96</v>
      </c>
      <c r="L6" s="26"/>
      <c r="M6" s="13" t="s">
        <v>320</v>
      </c>
      <c r="O6" s="5" t="s">
        <v>64</v>
      </c>
      <c r="Q6" s="5" t="s">
        <v>66</v>
      </c>
    </row>
    <row r="7" spans="1:17" x14ac:dyDescent="0.35">
      <c r="A7" s="5" t="s">
        <v>73</v>
      </c>
      <c r="B7" s="1" t="s">
        <v>74</v>
      </c>
      <c r="C7" s="1" t="s">
        <v>85</v>
      </c>
      <c r="D7" s="1" t="s">
        <v>86</v>
      </c>
      <c r="E7" s="1">
        <v>1031430</v>
      </c>
      <c r="I7" s="9" t="s">
        <v>215</v>
      </c>
      <c r="K7" s="8" t="s">
        <v>91</v>
      </c>
      <c r="L7" s="26"/>
      <c r="M7" s="13" t="s">
        <v>321</v>
      </c>
      <c r="O7" s="5" t="s">
        <v>66</v>
      </c>
      <c r="Q7" s="5" t="s">
        <v>68</v>
      </c>
    </row>
    <row r="8" spans="1:17" x14ac:dyDescent="0.35">
      <c r="A8" s="5" t="s">
        <v>73</v>
      </c>
      <c r="B8" s="1" t="s">
        <v>74</v>
      </c>
      <c r="C8" s="1" t="s">
        <v>87</v>
      </c>
      <c r="D8" s="1" t="s">
        <v>88</v>
      </c>
      <c r="E8" s="1">
        <v>100</v>
      </c>
      <c r="I8" s="9" t="s">
        <v>219</v>
      </c>
      <c r="K8" s="8" t="s">
        <v>75</v>
      </c>
      <c r="L8" s="26"/>
      <c r="M8" s="13" t="s">
        <v>322</v>
      </c>
      <c r="O8" s="5" t="s">
        <v>68</v>
      </c>
      <c r="Q8" s="5" t="s">
        <v>56</v>
      </c>
    </row>
    <row r="9" spans="1:17" x14ac:dyDescent="0.35">
      <c r="A9" s="5" t="s">
        <v>73</v>
      </c>
      <c r="B9" s="1" t="s">
        <v>74</v>
      </c>
      <c r="C9" s="1" t="s">
        <v>89</v>
      </c>
      <c r="D9" s="1" t="s">
        <v>90</v>
      </c>
      <c r="E9" s="1">
        <v>36.424999999999997</v>
      </c>
      <c r="I9" s="9" t="s">
        <v>231</v>
      </c>
      <c r="K9" s="8" t="s">
        <v>83</v>
      </c>
      <c r="L9" s="26"/>
      <c r="M9" s="13" t="s">
        <v>323</v>
      </c>
      <c r="O9" s="5" t="s">
        <v>56</v>
      </c>
      <c r="Q9" s="5" t="s">
        <v>354</v>
      </c>
    </row>
    <row r="10" spans="1:17" x14ac:dyDescent="0.35">
      <c r="A10" s="5" t="s">
        <v>73</v>
      </c>
      <c r="B10" s="1" t="s">
        <v>74</v>
      </c>
      <c r="C10" s="1" t="s">
        <v>91</v>
      </c>
      <c r="D10" s="1" t="s">
        <v>92</v>
      </c>
      <c r="E10" s="1">
        <v>947.81700000000001</v>
      </c>
      <c r="I10" s="9" t="s">
        <v>229</v>
      </c>
      <c r="K10" s="8" t="s">
        <v>164</v>
      </c>
      <c r="L10" s="26"/>
      <c r="M10" s="13" t="s">
        <v>324</v>
      </c>
      <c r="O10" s="5" t="s">
        <v>15</v>
      </c>
      <c r="Q10" s="5" t="s">
        <v>355</v>
      </c>
    </row>
    <row r="11" spans="1:17" x14ac:dyDescent="0.35">
      <c r="A11" s="5" t="s">
        <v>58</v>
      </c>
      <c r="B11" s="1" t="s">
        <v>93</v>
      </c>
      <c r="C11" s="1" t="s">
        <v>75</v>
      </c>
      <c r="D11" s="1" t="s">
        <v>94</v>
      </c>
      <c r="E11" s="1">
        <v>1</v>
      </c>
      <c r="I11" s="9" t="s">
        <v>16</v>
      </c>
      <c r="K11" s="8" t="s">
        <v>157</v>
      </c>
      <c r="L11" s="26"/>
      <c r="M11" s="13" t="s">
        <v>325</v>
      </c>
      <c r="O11" s="5" t="s">
        <v>21</v>
      </c>
      <c r="Q11" s="5" t="s">
        <v>356</v>
      </c>
    </row>
    <row r="12" spans="1:17" x14ac:dyDescent="0.35">
      <c r="A12" s="5" t="s">
        <v>58</v>
      </c>
      <c r="B12" s="1" t="s">
        <v>93</v>
      </c>
      <c r="C12" s="1" t="s">
        <v>77</v>
      </c>
      <c r="D12" s="1" t="s">
        <v>95</v>
      </c>
      <c r="E12" s="1">
        <v>1000</v>
      </c>
      <c r="I12" s="9" t="s">
        <v>228</v>
      </c>
      <c r="K12" s="8" t="s">
        <v>147</v>
      </c>
      <c r="L12" s="26"/>
      <c r="M12" s="13" t="s">
        <v>326</v>
      </c>
      <c r="O12" s="5" t="s">
        <v>46</v>
      </c>
      <c r="Q12" s="5" t="s">
        <v>357</v>
      </c>
    </row>
    <row r="13" spans="1:17" x14ac:dyDescent="0.35">
      <c r="A13" s="5" t="s">
        <v>58</v>
      </c>
      <c r="B13" s="1" t="s">
        <v>93</v>
      </c>
      <c r="C13" s="1" t="s">
        <v>96</v>
      </c>
      <c r="D13" s="1" t="s">
        <v>97</v>
      </c>
      <c r="E13" s="1">
        <v>139.21</v>
      </c>
      <c r="I13" s="9" t="s">
        <v>226</v>
      </c>
      <c r="K13" s="8" t="s">
        <v>155</v>
      </c>
      <c r="L13" s="26"/>
      <c r="M13" s="13" t="s">
        <v>328</v>
      </c>
      <c r="O13" s="5" t="s">
        <v>48</v>
      </c>
      <c r="Q13" s="5" t="s">
        <v>187</v>
      </c>
    </row>
    <row r="14" spans="1:17" x14ac:dyDescent="0.35">
      <c r="A14" s="5" t="s">
        <v>58</v>
      </c>
      <c r="B14" s="1" t="s">
        <v>93</v>
      </c>
      <c r="C14" s="1" t="s">
        <v>98</v>
      </c>
      <c r="D14" s="1" t="s">
        <v>99</v>
      </c>
      <c r="E14" s="1">
        <v>167.184</v>
      </c>
      <c r="I14" s="9" t="s">
        <v>222</v>
      </c>
      <c r="K14" s="8" t="s">
        <v>100</v>
      </c>
      <c r="L14" s="26"/>
      <c r="M14" s="13" t="s">
        <v>329</v>
      </c>
      <c r="O14" s="5" t="s">
        <v>50</v>
      </c>
      <c r="Q14" s="5" t="s">
        <v>358</v>
      </c>
    </row>
    <row r="15" spans="1:17" x14ac:dyDescent="0.35">
      <c r="A15" s="5" t="s">
        <v>58</v>
      </c>
      <c r="B15" s="1" t="s">
        <v>93</v>
      </c>
      <c r="C15" s="1" t="s">
        <v>100</v>
      </c>
      <c r="D15" s="1" t="s">
        <v>101</v>
      </c>
      <c r="E15" s="1">
        <v>36.774999999999999</v>
      </c>
      <c r="I15" s="9" t="s">
        <v>216</v>
      </c>
      <c r="K15" s="8" t="s">
        <v>77</v>
      </c>
      <c r="L15" s="26"/>
      <c r="M15" s="13" t="s">
        <v>330</v>
      </c>
      <c r="O15" s="5" t="s">
        <v>52</v>
      </c>
      <c r="Q15" s="5" t="s">
        <v>205</v>
      </c>
    </row>
    <row r="16" spans="1:17" x14ac:dyDescent="0.35">
      <c r="A16" s="5" t="s">
        <v>58</v>
      </c>
      <c r="B16" s="1" t="s">
        <v>93</v>
      </c>
      <c r="C16" s="1" t="s">
        <v>91</v>
      </c>
      <c r="D16" s="1" t="s">
        <v>102</v>
      </c>
      <c r="E16" s="1">
        <v>947.81700000000001</v>
      </c>
      <c r="I16" s="9" t="s">
        <v>220</v>
      </c>
      <c r="K16" s="8" t="s">
        <v>85</v>
      </c>
      <c r="L16" s="26"/>
      <c r="M16" s="13" t="s">
        <v>331</v>
      </c>
      <c r="O16" s="5" t="s">
        <v>187</v>
      </c>
    </row>
    <row r="17" spans="1:15" x14ac:dyDescent="0.35">
      <c r="A17" s="5" t="s">
        <v>60</v>
      </c>
      <c r="B17" s="1" t="s">
        <v>103</v>
      </c>
      <c r="C17" s="1" t="s">
        <v>75</v>
      </c>
      <c r="D17" s="1" t="s">
        <v>104</v>
      </c>
      <c r="E17" s="1">
        <v>1</v>
      </c>
      <c r="I17" s="9" t="s">
        <v>230</v>
      </c>
      <c r="K17" s="8" t="s">
        <v>159</v>
      </c>
      <c r="L17" s="26"/>
      <c r="M17" s="13" t="s">
        <v>332</v>
      </c>
      <c r="O17" s="5" t="s">
        <v>195</v>
      </c>
    </row>
    <row r="18" spans="1:15" x14ac:dyDescent="0.35">
      <c r="A18" s="5" t="s">
        <v>60</v>
      </c>
      <c r="B18" s="1" t="s">
        <v>103</v>
      </c>
      <c r="C18" s="1" t="s">
        <v>77</v>
      </c>
      <c r="D18" s="1" t="s">
        <v>105</v>
      </c>
      <c r="E18" s="1">
        <v>1000</v>
      </c>
      <c r="I18" s="9" t="s">
        <v>227</v>
      </c>
      <c r="K18" s="8" t="s">
        <v>149</v>
      </c>
      <c r="L18" s="26"/>
      <c r="M18" s="13" t="s">
        <v>333</v>
      </c>
      <c r="O18" s="5" t="s">
        <v>17</v>
      </c>
    </row>
    <row r="19" spans="1:15" x14ac:dyDescent="0.35">
      <c r="A19" s="5" t="s">
        <v>60</v>
      </c>
      <c r="B19" s="1" t="s">
        <v>103</v>
      </c>
      <c r="C19" s="1" t="s">
        <v>96</v>
      </c>
      <c r="D19" s="1" t="s">
        <v>106</v>
      </c>
      <c r="E19" s="1">
        <v>139.21</v>
      </c>
      <c r="I19" s="9" t="s">
        <v>221</v>
      </c>
      <c r="K19" s="8" t="s">
        <v>87</v>
      </c>
      <c r="L19" s="26"/>
      <c r="M19" s="13" t="s">
        <v>335</v>
      </c>
      <c r="O19" s="5" t="s">
        <v>205</v>
      </c>
    </row>
    <row r="20" spans="1:15" x14ac:dyDescent="0.35">
      <c r="A20" s="5" t="s">
        <v>60</v>
      </c>
      <c r="B20" s="1" t="s">
        <v>103</v>
      </c>
      <c r="C20" s="1" t="s">
        <v>98</v>
      </c>
      <c r="D20" s="1" t="s">
        <v>107</v>
      </c>
      <c r="E20" s="1">
        <v>167.184</v>
      </c>
      <c r="I20" s="9" t="s">
        <v>233</v>
      </c>
      <c r="K20" s="8" t="s">
        <v>174</v>
      </c>
      <c r="L20" s="26"/>
      <c r="M20" s="13" t="s">
        <v>336</v>
      </c>
    </row>
    <row r="21" spans="1:15" x14ac:dyDescent="0.35">
      <c r="A21" s="5" t="s">
        <v>60</v>
      </c>
      <c r="B21" s="1" t="s">
        <v>103</v>
      </c>
      <c r="C21" s="1" t="s">
        <v>100</v>
      </c>
      <c r="D21" s="1" t="s">
        <v>108</v>
      </c>
      <c r="E21" s="1">
        <v>36.774999999999999</v>
      </c>
      <c r="I21" s="9" t="s">
        <v>232</v>
      </c>
      <c r="K21" s="8" t="s">
        <v>192</v>
      </c>
      <c r="L21" s="26"/>
      <c r="M21" s="13" t="s">
        <v>337</v>
      </c>
    </row>
    <row r="22" spans="1:15" x14ac:dyDescent="0.35">
      <c r="A22" s="5" t="s">
        <v>60</v>
      </c>
      <c r="B22" s="1" t="s">
        <v>103</v>
      </c>
      <c r="C22" s="1" t="s">
        <v>91</v>
      </c>
      <c r="D22" s="1" t="s">
        <v>109</v>
      </c>
      <c r="E22" s="1">
        <v>947.81700000000001</v>
      </c>
      <c r="I22" s="9" t="s">
        <v>234</v>
      </c>
      <c r="K22" s="8" t="s">
        <v>190</v>
      </c>
      <c r="L22" s="26"/>
      <c r="M22" s="13" t="s">
        <v>338</v>
      </c>
    </row>
    <row r="23" spans="1:15" x14ac:dyDescent="0.35">
      <c r="A23" s="5" t="s">
        <v>62</v>
      </c>
      <c r="B23" s="1" t="s">
        <v>110</v>
      </c>
      <c r="C23" s="1" t="s">
        <v>75</v>
      </c>
      <c r="D23" s="1" t="s">
        <v>111</v>
      </c>
      <c r="E23" s="1">
        <v>1</v>
      </c>
    </row>
    <row r="24" spans="1:15" x14ac:dyDescent="0.35">
      <c r="A24" s="5" t="s">
        <v>62</v>
      </c>
      <c r="B24" s="1" t="s">
        <v>110</v>
      </c>
      <c r="C24" s="1" t="s">
        <v>77</v>
      </c>
      <c r="D24" s="1" t="s">
        <v>112</v>
      </c>
      <c r="E24" s="1">
        <v>1000</v>
      </c>
    </row>
    <row r="25" spans="1:15" x14ac:dyDescent="0.35">
      <c r="A25" s="5" t="s">
        <v>62</v>
      </c>
      <c r="B25" s="1" t="s">
        <v>110</v>
      </c>
      <c r="C25" s="1" t="s">
        <v>96</v>
      </c>
      <c r="D25" s="1" t="s">
        <v>113</v>
      </c>
      <c r="E25" s="1">
        <v>139.21</v>
      </c>
    </row>
    <row r="26" spans="1:15" x14ac:dyDescent="0.35">
      <c r="A26" s="5" t="s">
        <v>62</v>
      </c>
      <c r="B26" s="1" t="s">
        <v>110</v>
      </c>
      <c r="C26" s="1" t="s">
        <v>98</v>
      </c>
      <c r="D26" s="1" t="s">
        <v>114</v>
      </c>
      <c r="E26" s="1">
        <v>167.184</v>
      </c>
      <c r="I26" t="s">
        <v>236</v>
      </c>
    </row>
    <row r="27" spans="1:15" x14ac:dyDescent="0.35">
      <c r="A27" s="5" t="s">
        <v>62</v>
      </c>
      <c r="B27" s="1" t="s">
        <v>110</v>
      </c>
      <c r="C27" s="1" t="s">
        <v>100</v>
      </c>
      <c r="D27" s="1" t="s">
        <v>115</v>
      </c>
      <c r="E27" s="1">
        <v>36.774999999999999</v>
      </c>
    </row>
    <row r="28" spans="1:15" x14ac:dyDescent="0.35">
      <c r="A28" s="5" t="s">
        <v>62</v>
      </c>
      <c r="B28" s="1" t="s">
        <v>110</v>
      </c>
      <c r="C28" s="1" t="s">
        <v>91</v>
      </c>
      <c r="D28" s="1" t="s">
        <v>116</v>
      </c>
      <c r="E28" s="1">
        <v>947.81700000000001</v>
      </c>
      <c r="I28">
        <f>VLOOKUP(I26, C2:E4, 3)</f>
        <v>1</v>
      </c>
    </row>
    <row r="29" spans="1:15" x14ac:dyDescent="0.35">
      <c r="A29" s="5" t="s">
        <v>64</v>
      </c>
      <c r="B29" s="1" t="s">
        <v>117</v>
      </c>
      <c r="C29" s="1" t="s">
        <v>75</v>
      </c>
      <c r="D29" s="1" t="s">
        <v>118</v>
      </c>
      <c r="E29" s="1">
        <v>1</v>
      </c>
    </row>
    <row r="30" spans="1:15" x14ac:dyDescent="0.35">
      <c r="A30" s="5" t="s">
        <v>64</v>
      </c>
      <c r="B30" s="1" t="s">
        <v>117</v>
      </c>
      <c r="C30" s="1" t="s">
        <v>77</v>
      </c>
      <c r="D30" s="1" t="s">
        <v>119</v>
      </c>
      <c r="E30" s="1">
        <v>1000</v>
      </c>
    </row>
    <row r="31" spans="1:15" x14ac:dyDescent="0.35">
      <c r="A31" s="5" t="s">
        <v>64</v>
      </c>
      <c r="B31" s="1" t="s">
        <v>117</v>
      </c>
      <c r="C31" s="1" t="s">
        <v>96</v>
      </c>
      <c r="D31" s="1" t="s">
        <v>120</v>
      </c>
      <c r="E31" s="1">
        <v>152.48500000000001</v>
      </c>
    </row>
    <row r="32" spans="1:15" x14ac:dyDescent="0.35">
      <c r="A32" s="5" t="s">
        <v>64</v>
      </c>
      <c r="B32" s="1" t="s">
        <v>117</v>
      </c>
      <c r="C32" s="1" t="s">
        <v>98</v>
      </c>
      <c r="D32" s="1" t="s">
        <v>121</v>
      </c>
      <c r="E32" s="1">
        <v>183.12700000000001</v>
      </c>
    </row>
    <row r="33" spans="1:5" x14ac:dyDescent="0.35">
      <c r="A33" s="5" t="s">
        <v>64</v>
      </c>
      <c r="B33" s="1" t="s">
        <v>117</v>
      </c>
      <c r="C33" s="1" t="s">
        <v>100</v>
      </c>
      <c r="D33" s="1" t="s">
        <v>122</v>
      </c>
      <c r="E33" s="1">
        <v>40.281999999999996</v>
      </c>
    </row>
    <row r="34" spans="1:5" x14ac:dyDescent="0.35">
      <c r="A34" s="5" t="s">
        <v>64</v>
      </c>
      <c r="B34" s="1" t="s">
        <v>117</v>
      </c>
      <c r="C34" s="1" t="s">
        <v>91</v>
      </c>
      <c r="D34" s="1" t="s">
        <v>123</v>
      </c>
      <c r="E34" s="1">
        <v>947.81700000000001</v>
      </c>
    </row>
    <row r="35" spans="1:5" x14ac:dyDescent="0.35">
      <c r="A35" s="5" t="s">
        <v>66</v>
      </c>
      <c r="B35" s="1" t="s">
        <v>66</v>
      </c>
      <c r="C35" s="1" t="s">
        <v>75</v>
      </c>
      <c r="D35" s="1" t="s">
        <v>124</v>
      </c>
      <c r="E35" s="1">
        <v>1</v>
      </c>
    </row>
    <row r="36" spans="1:5" x14ac:dyDescent="0.35">
      <c r="A36" s="5" t="s">
        <v>66</v>
      </c>
      <c r="B36" s="1" t="s">
        <v>66</v>
      </c>
      <c r="C36" s="1" t="s">
        <v>77</v>
      </c>
      <c r="D36" s="1" t="s">
        <v>125</v>
      </c>
      <c r="E36" s="1">
        <v>1000</v>
      </c>
    </row>
    <row r="37" spans="1:5" x14ac:dyDescent="0.35">
      <c r="A37" s="5" t="s">
        <v>66</v>
      </c>
      <c r="B37" s="1" t="s">
        <v>66</v>
      </c>
      <c r="C37" s="1" t="s">
        <v>96</v>
      </c>
      <c r="D37" s="1" t="s">
        <v>126</v>
      </c>
      <c r="E37" s="1">
        <v>137.416</v>
      </c>
    </row>
    <row r="38" spans="1:5" x14ac:dyDescent="0.35">
      <c r="A38" s="5" t="s">
        <v>66</v>
      </c>
      <c r="B38" s="1" t="s">
        <v>66</v>
      </c>
      <c r="C38" s="1" t="s">
        <v>98</v>
      </c>
      <c r="D38" s="1" t="s">
        <v>127</v>
      </c>
      <c r="E38" s="1">
        <v>165.029</v>
      </c>
    </row>
    <row r="39" spans="1:5" x14ac:dyDescent="0.35">
      <c r="A39" s="5" t="s">
        <v>66</v>
      </c>
      <c r="B39" s="1" t="s">
        <v>66</v>
      </c>
      <c r="C39" s="1" t="s">
        <v>100</v>
      </c>
      <c r="D39" s="1" t="s">
        <v>128</v>
      </c>
      <c r="E39" s="1">
        <v>36.301000000000002</v>
      </c>
    </row>
    <row r="40" spans="1:5" x14ac:dyDescent="0.35">
      <c r="A40" s="5" t="s">
        <v>66</v>
      </c>
      <c r="B40" s="1" t="s">
        <v>66</v>
      </c>
      <c r="C40" s="1" t="s">
        <v>91</v>
      </c>
      <c r="D40" s="1" t="s">
        <v>129</v>
      </c>
      <c r="E40" s="1">
        <v>947.81700000000001</v>
      </c>
    </row>
    <row r="41" spans="1:5" x14ac:dyDescent="0.35">
      <c r="A41" s="5" t="s">
        <v>68</v>
      </c>
      <c r="B41" s="1" t="s">
        <v>68</v>
      </c>
      <c r="C41" s="1" t="s">
        <v>75</v>
      </c>
      <c r="D41" s="1" t="s">
        <v>130</v>
      </c>
      <c r="E41" s="1">
        <v>1</v>
      </c>
    </row>
    <row r="42" spans="1:5" x14ac:dyDescent="0.35">
      <c r="A42" s="5" t="s">
        <v>68</v>
      </c>
      <c r="B42" s="1" t="s">
        <v>68</v>
      </c>
      <c r="C42" s="1" t="s">
        <v>77</v>
      </c>
      <c r="D42" s="1" t="s">
        <v>131</v>
      </c>
      <c r="E42" s="1">
        <v>1000</v>
      </c>
    </row>
    <row r="43" spans="1:5" x14ac:dyDescent="0.35">
      <c r="A43" s="5" t="s">
        <v>68</v>
      </c>
      <c r="B43" s="1" t="s">
        <v>68</v>
      </c>
      <c r="C43" s="1" t="s">
        <v>96</v>
      </c>
      <c r="D43" s="1" t="s">
        <v>132</v>
      </c>
      <c r="E43" s="1">
        <v>135.191</v>
      </c>
    </row>
    <row r="44" spans="1:5" x14ac:dyDescent="0.35">
      <c r="A44" s="5" t="s">
        <v>68</v>
      </c>
      <c r="B44" s="1" t="s">
        <v>68</v>
      </c>
      <c r="C44" s="1" t="s">
        <v>98</v>
      </c>
      <c r="D44" s="1" t="s">
        <v>133</v>
      </c>
      <c r="E44" s="1">
        <v>162.358</v>
      </c>
    </row>
    <row r="45" spans="1:5" x14ac:dyDescent="0.35">
      <c r="A45" s="5" t="s">
        <v>68</v>
      </c>
      <c r="B45" s="1" t="s">
        <v>68</v>
      </c>
      <c r="C45" s="1" t="s">
        <v>100</v>
      </c>
      <c r="D45" s="1" t="s">
        <v>134</v>
      </c>
      <c r="E45" s="1">
        <v>35.713999999999999</v>
      </c>
    </row>
    <row r="46" spans="1:5" x14ac:dyDescent="0.35">
      <c r="A46" s="5" t="s">
        <v>68</v>
      </c>
      <c r="B46" s="1" t="s">
        <v>68</v>
      </c>
      <c r="C46" s="1" t="s">
        <v>91</v>
      </c>
      <c r="D46" s="1" t="s">
        <v>135</v>
      </c>
      <c r="E46" s="1">
        <v>947.81700000000001</v>
      </c>
    </row>
    <row r="47" spans="1:5" x14ac:dyDescent="0.35">
      <c r="A47" s="5" t="s">
        <v>56</v>
      </c>
      <c r="B47" s="1" t="s">
        <v>56</v>
      </c>
      <c r="C47" s="1" t="s">
        <v>75</v>
      </c>
      <c r="D47" s="1" t="s">
        <v>136</v>
      </c>
      <c r="E47" s="1">
        <v>1</v>
      </c>
    </row>
    <row r="48" spans="1:5" x14ac:dyDescent="0.35">
      <c r="A48" s="5" t="s">
        <v>56</v>
      </c>
      <c r="B48" s="1" t="s">
        <v>56</v>
      </c>
      <c r="C48" s="1" t="s">
        <v>77</v>
      </c>
      <c r="D48" s="1" t="s">
        <v>137</v>
      </c>
      <c r="E48" s="1">
        <v>1000</v>
      </c>
    </row>
    <row r="49" spans="1:5" x14ac:dyDescent="0.35">
      <c r="A49" s="5" t="s">
        <v>56</v>
      </c>
      <c r="B49" s="1" t="s">
        <v>56</v>
      </c>
      <c r="C49" s="1" t="s">
        <v>79</v>
      </c>
      <c r="D49" s="1" t="s">
        <v>138</v>
      </c>
      <c r="E49" s="1">
        <v>2.516</v>
      </c>
    </row>
    <row r="50" spans="1:5" x14ac:dyDescent="0.35">
      <c r="A50" s="5" t="s">
        <v>56</v>
      </c>
      <c r="B50" s="1" t="s">
        <v>56</v>
      </c>
      <c r="C50" s="1" t="s">
        <v>81</v>
      </c>
      <c r="D50" s="1" t="s">
        <v>139</v>
      </c>
      <c r="E50" s="1">
        <v>251.6</v>
      </c>
    </row>
    <row r="51" spans="1:5" x14ac:dyDescent="0.35">
      <c r="A51" s="5" t="s">
        <v>56</v>
      </c>
      <c r="B51" s="1" t="s">
        <v>56</v>
      </c>
      <c r="C51" s="1" t="s">
        <v>83</v>
      </c>
      <c r="D51" s="1" t="s">
        <v>140</v>
      </c>
      <c r="E51" s="1">
        <v>2516</v>
      </c>
    </row>
    <row r="52" spans="1:5" x14ac:dyDescent="0.35">
      <c r="A52" s="5" t="s">
        <v>56</v>
      </c>
      <c r="B52" s="1" t="s">
        <v>56</v>
      </c>
      <c r="C52" s="1" t="s">
        <v>96</v>
      </c>
      <c r="D52" s="1" t="s">
        <v>141</v>
      </c>
      <c r="E52" s="1">
        <v>90.808999999999997</v>
      </c>
    </row>
    <row r="53" spans="1:5" x14ac:dyDescent="0.35">
      <c r="A53" s="5" t="s">
        <v>56</v>
      </c>
      <c r="B53" s="1" t="s">
        <v>56</v>
      </c>
      <c r="C53" s="1" t="s">
        <v>98</v>
      </c>
      <c r="D53" s="1" t="s">
        <v>142</v>
      </c>
      <c r="E53" s="1">
        <v>109.057</v>
      </c>
    </row>
    <row r="54" spans="1:5" x14ac:dyDescent="0.35">
      <c r="A54" s="5" t="s">
        <v>56</v>
      </c>
      <c r="B54" s="1" t="s">
        <v>56</v>
      </c>
      <c r="C54" s="1" t="s">
        <v>100</v>
      </c>
      <c r="D54" s="1" t="s">
        <v>143</v>
      </c>
      <c r="E54" s="1">
        <v>23.989000000000001</v>
      </c>
    </row>
    <row r="55" spans="1:5" x14ac:dyDescent="0.35">
      <c r="A55" s="5" t="s">
        <v>56</v>
      </c>
      <c r="B55" s="1" t="s">
        <v>56</v>
      </c>
      <c r="C55" s="1" t="s">
        <v>91</v>
      </c>
      <c r="D55" s="1" t="s">
        <v>144</v>
      </c>
      <c r="E55" s="1">
        <v>947.81700000000001</v>
      </c>
    </row>
    <row r="56" spans="1:5" x14ac:dyDescent="0.35">
      <c r="A56" s="5" t="s">
        <v>15</v>
      </c>
      <c r="B56" s="1" t="s">
        <v>15</v>
      </c>
      <c r="C56" s="1" t="s">
        <v>75</v>
      </c>
      <c r="D56" s="1" t="s">
        <v>145</v>
      </c>
      <c r="E56" s="1">
        <v>1</v>
      </c>
    </row>
    <row r="57" spans="1:5" x14ac:dyDescent="0.35">
      <c r="A57" s="5" t="s">
        <v>15</v>
      </c>
      <c r="B57" s="1" t="s">
        <v>15</v>
      </c>
      <c r="C57" s="1" t="s">
        <v>77</v>
      </c>
      <c r="D57" s="1" t="s">
        <v>146</v>
      </c>
      <c r="E57" s="1">
        <v>1000</v>
      </c>
    </row>
    <row r="58" spans="1:5" x14ac:dyDescent="0.35">
      <c r="A58" s="5" t="s">
        <v>15</v>
      </c>
      <c r="B58" s="1" t="s">
        <v>15</v>
      </c>
      <c r="C58" s="1" t="s">
        <v>147</v>
      </c>
      <c r="D58" s="1" t="s">
        <v>148</v>
      </c>
      <c r="E58" s="1">
        <v>3.4119999999999999</v>
      </c>
    </row>
    <row r="59" spans="1:5" x14ac:dyDescent="0.35">
      <c r="A59" s="5" t="s">
        <v>15</v>
      </c>
      <c r="B59" s="1" t="s">
        <v>15</v>
      </c>
      <c r="C59" s="1" t="s">
        <v>149</v>
      </c>
      <c r="D59" s="1" t="s">
        <v>150</v>
      </c>
      <c r="E59" s="1">
        <v>3412</v>
      </c>
    </row>
    <row r="60" spans="1:5" x14ac:dyDescent="0.35">
      <c r="A60" s="5" t="s">
        <v>15</v>
      </c>
      <c r="B60" s="1" t="s">
        <v>15</v>
      </c>
      <c r="C60" s="1" t="s">
        <v>91</v>
      </c>
      <c r="D60" s="1" t="s">
        <v>151</v>
      </c>
      <c r="E60" s="1">
        <v>947.81700000000001</v>
      </c>
    </row>
    <row r="61" spans="1:5" x14ac:dyDescent="0.35">
      <c r="A61" s="5" t="s">
        <v>21</v>
      </c>
      <c r="B61" s="1" t="s">
        <v>152</v>
      </c>
      <c r="C61" s="1" t="s">
        <v>75</v>
      </c>
      <c r="D61" s="1" t="s">
        <v>153</v>
      </c>
      <c r="E61" s="1">
        <v>1</v>
      </c>
    </row>
    <row r="62" spans="1:5" x14ac:dyDescent="0.35">
      <c r="A62" s="5" t="s">
        <v>21</v>
      </c>
      <c r="B62" s="1" t="s">
        <v>152</v>
      </c>
      <c r="C62" s="1" t="s">
        <v>77</v>
      </c>
      <c r="D62" s="1" t="s">
        <v>154</v>
      </c>
      <c r="E62" s="1">
        <v>1000</v>
      </c>
    </row>
    <row r="63" spans="1:5" x14ac:dyDescent="0.35">
      <c r="A63" s="5" t="s">
        <v>21</v>
      </c>
      <c r="B63" s="1" t="s">
        <v>152</v>
      </c>
      <c r="C63" s="1" t="s">
        <v>155</v>
      </c>
      <c r="D63" s="1" t="s">
        <v>156</v>
      </c>
      <c r="E63" s="1">
        <v>1.194</v>
      </c>
    </row>
    <row r="64" spans="1:5" x14ac:dyDescent="0.35">
      <c r="A64" s="5" t="s">
        <v>21</v>
      </c>
      <c r="B64" s="1" t="s">
        <v>152</v>
      </c>
      <c r="C64" s="1" t="s">
        <v>157</v>
      </c>
      <c r="D64" s="1" t="s">
        <v>158</v>
      </c>
      <c r="E64" s="1">
        <v>1194</v>
      </c>
    </row>
    <row r="65" spans="1:5" x14ac:dyDescent="0.35">
      <c r="A65" s="5" t="s">
        <v>21</v>
      </c>
      <c r="B65" s="1" t="s">
        <v>152</v>
      </c>
      <c r="C65" s="1" t="s">
        <v>159</v>
      </c>
      <c r="D65" s="1" t="s">
        <v>160</v>
      </c>
      <c r="E65" s="1">
        <v>1194000</v>
      </c>
    </row>
    <row r="66" spans="1:5" x14ac:dyDescent="0.35">
      <c r="A66" s="5" t="s">
        <v>21</v>
      </c>
      <c r="B66" s="1" t="s">
        <v>152</v>
      </c>
      <c r="C66" s="1" t="s">
        <v>161</v>
      </c>
      <c r="D66" s="1" t="s">
        <v>162</v>
      </c>
      <c r="E66" s="1">
        <v>100</v>
      </c>
    </row>
    <row r="67" spans="1:5" x14ac:dyDescent="0.35">
      <c r="A67" s="5" t="s">
        <v>21</v>
      </c>
      <c r="B67" s="1" t="s">
        <v>152</v>
      </c>
      <c r="C67" s="1" t="s">
        <v>91</v>
      </c>
      <c r="D67" s="1" t="s">
        <v>163</v>
      </c>
      <c r="E67" s="1">
        <v>947.81700000000001</v>
      </c>
    </row>
    <row r="68" spans="1:5" x14ac:dyDescent="0.35">
      <c r="A68" s="5" t="s">
        <v>21</v>
      </c>
      <c r="B68" s="1" t="s">
        <v>152</v>
      </c>
      <c r="C68" s="1" t="s">
        <v>164</v>
      </c>
      <c r="D68" s="1" t="s">
        <v>165</v>
      </c>
      <c r="E68" s="1">
        <v>2.6320000000000001</v>
      </c>
    </row>
    <row r="69" spans="1:5" x14ac:dyDescent="0.35">
      <c r="A69" s="5" t="s">
        <v>46</v>
      </c>
      <c r="B69" s="1" t="s">
        <v>166</v>
      </c>
      <c r="C69" s="1" t="s">
        <v>75</v>
      </c>
      <c r="D69" s="1" t="s">
        <v>167</v>
      </c>
      <c r="E69" s="1">
        <v>1</v>
      </c>
    </row>
    <row r="70" spans="1:5" x14ac:dyDescent="0.35">
      <c r="A70" s="5" t="s">
        <v>46</v>
      </c>
      <c r="B70" s="1" t="s">
        <v>166</v>
      </c>
      <c r="C70" s="1" t="s">
        <v>77</v>
      </c>
      <c r="D70" s="1" t="s">
        <v>168</v>
      </c>
      <c r="E70" s="1">
        <v>1000</v>
      </c>
    </row>
    <row r="71" spans="1:5" x14ac:dyDescent="0.35">
      <c r="A71" s="5" t="s">
        <v>46</v>
      </c>
      <c r="B71" s="1" t="s">
        <v>166</v>
      </c>
      <c r="C71" s="1" t="s">
        <v>87</v>
      </c>
      <c r="D71" s="1" t="s">
        <v>169</v>
      </c>
      <c r="E71" s="1">
        <v>100</v>
      </c>
    </row>
    <row r="72" spans="1:5" x14ac:dyDescent="0.35">
      <c r="A72" s="5" t="s">
        <v>46</v>
      </c>
      <c r="B72" s="1" t="s">
        <v>166</v>
      </c>
      <c r="C72" s="1" t="s">
        <v>91</v>
      </c>
      <c r="D72" s="1" t="s">
        <v>170</v>
      </c>
      <c r="E72" s="1">
        <v>947.81700000000001</v>
      </c>
    </row>
    <row r="73" spans="1:5" x14ac:dyDescent="0.35">
      <c r="A73" s="5" t="s">
        <v>48</v>
      </c>
      <c r="B73" s="1" t="s">
        <v>171</v>
      </c>
      <c r="C73" s="1" t="s">
        <v>75</v>
      </c>
      <c r="D73" s="1" t="s">
        <v>172</v>
      </c>
      <c r="E73" s="1">
        <v>1</v>
      </c>
    </row>
    <row r="74" spans="1:5" x14ac:dyDescent="0.35">
      <c r="A74" s="5" t="s">
        <v>48</v>
      </c>
      <c r="B74" s="1" t="s">
        <v>171</v>
      </c>
      <c r="C74" s="1" t="s">
        <v>77</v>
      </c>
      <c r="D74" s="1" t="s">
        <v>173</v>
      </c>
      <c r="E74" s="1">
        <v>1000</v>
      </c>
    </row>
    <row r="75" spans="1:5" x14ac:dyDescent="0.35">
      <c r="A75" s="5" t="s">
        <v>48</v>
      </c>
      <c r="B75" s="1" t="s">
        <v>171</v>
      </c>
      <c r="C75" s="1" t="s">
        <v>174</v>
      </c>
      <c r="D75" s="1" t="s">
        <v>175</v>
      </c>
      <c r="E75" s="1">
        <v>12</v>
      </c>
    </row>
    <row r="76" spans="1:5" x14ac:dyDescent="0.35">
      <c r="A76" s="5" t="s">
        <v>48</v>
      </c>
      <c r="B76" s="1" t="s">
        <v>171</v>
      </c>
      <c r="C76" s="1" t="s">
        <v>91</v>
      </c>
      <c r="D76" s="1" t="s">
        <v>176</v>
      </c>
      <c r="E76" s="1">
        <v>947.81700000000001</v>
      </c>
    </row>
    <row r="77" spans="1:5" x14ac:dyDescent="0.35">
      <c r="A77" s="5" t="s">
        <v>50</v>
      </c>
      <c r="B77" s="1" t="s">
        <v>177</v>
      </c>
      <c r="C77" s="1" t="s">
        <v>75</v>
      </c>
      <c r="D77" s="1" t="s">
        <v>178</v>
      </c>
      <c r="E77" s="1">
        <v>1</v>
      </c>
    </row>
    <row r="78" spans="1:5" x14ac:dyDescent="0.35">
      <c r="A78" s="5" t="s">
        <v>50</v>
      </c>
      <c r="B78" s="1" t="s">
        <v>177</v>
      </c>
      <c r="C78" s="1" t="s">
        <v>77</v>
      </c>
      <c r="D78" s="1" t="s">
        <v>179</v>
      </c>
      <c r="E78" s="1">
        <v>1000</v>
      </c>
    </row>
    <row r="79" spans="1:5" x14ac:dyDescent="0.35">
      <c r="A79" s="5" t="s">
        <v>50</v>
      </c>
      <c r="B79" s="1" t="s">
        <v>177</v>
      </c>
      <c r="C79" s="1" t="s">
        <v>174</v>
      </c>
      <c r="D79" s="1" t="s">
        <v>180</v>
      </c>
      <c r="E79" s="1">
        <v>12</v>
      </c>
    </row>
    <row r="80" spans="1:5" x14ac:dyDescent="0.35">
      <c r="A80" s="5" t="s">
        <v>50</v>
      </c>
      <c r="B80" s="1" t="s">
        <v>177</v>
      </c>
      <c r="C80" s="1" t="s">
        <v>91</v>
      </c>
      <c r="D80" s="1" t="s">
        <v>181</v>
      </c>
      <c r="E80" s="1">
        <v>947.81700000000001</v>
      </c>
    </row>
    <row r="81" spans="1:5" x14ac:dyDescent="0.35">
      <c r="A81" s="5" t="s">
        <v>52</v>
      </c>
      <c r="B81" s="1" t="s">
        <v>182</v>
      </c>
      <c r="C81" s="1" t="s">
        <v>75</v>
      </c>
      <c r="D81" s="1" t="s">
        <v>183</v>
      </c>
      <c r="E81" s="1">
        <v>1</v>
      </c>
    </row>
    <row r="82" spans="1:5" x14ac:dyDescent="0.35">
      <c r="A82" s="5" t="s">
        <v>52</v>
      </c>
      <c r="B82" s="1" t="s">
        <v>182</v>
      </c>
      <c r="C82" s="1" t="s">
        <v>77</v>
      </c>
      <c r="D82" s="1" t="s">
        <v>184</v>
      </c>
      <c r="E82" s="1">
        <v>1000</v>
      </c>
    </row>
    <row r="83" spans="1:5" x14ac:dyDescent="0.35">
      <c r="A83" s="5" t="s">
        <v>52</v>
      </c>
      <c r="B83" s="1" t="s">
        <v>182</v>
      </c>
      <c r="C83" s="1" t="s">
        <v>174</v>
      </c>
      <c r="D83" s="1" t="s">
        <v>185</v>
      </c>
      <c r="E83" s="1">
        <v>12</v>
      </c>
    </row>
    <row r="84" spans="1:5" x14ac:dyDescent="0.35">
      <c r="A84" s="5" t="s">
        <v>52</v>
      </c>
      <c r="B84" s="1" t="s">
        <v>182</v>
      </c>
      <c r="C84" s="1" t="s">
        <v>91</v>
      </c>
      <c r="D84" s="1" t="s">
        <v>186</v>
      </c>
      <c r="E84" s="1">
        <v>947.81700000000001</v>
      </c>
    </row>
    <row r="85" spans="1:5" x14ac:dyDescent="0.35">
      <c r="A85" s="6"/>
      <c r="B85" s="1"/>
      <c r="C85" s="1" t="s">
        <v>43</v>
      </c>
      <c r="D85" s="1"/>
      <c r="E85" s="1"/>
    </row>
    <row r="86" spans="1:5" x14ac:dyDescent="0.35">
      <c r="A86" s="5" t="s">
        <v>187</v>
      </c>
      <c r="B86" s="1" t="s">
        <v>187</v>
      </c>
      <c r="C86" s="1" t="s">
        <v>75</v>
      </c>
      <c r="D86" s="1" t="s">
        <v>188</v>
      </c>
      <c r="E86" s="1">
        <v>1</v>
      </c>
    </row>
    <row r="87" spans="1:5" x14ac:dyDescent="0.35">
      <c r="A87" s="5" t="s">
        <v>187</v>
      </c>
      <c r="B87" s="1" t="s">
        <v>187</v>
      </c>
      <c r="C87" s="1" t="s">
        <v>77</v>
      </c>
      <c r="D87" s="1" t="s">
        <v>189</v>
      </c>
      <c r="E87" s="1">
        <v>1000</v>
      </c>
    </row>
    <row r="88" spans="1:5" x14ac:dyDescent="0.35">
      <c r="A88" s="5" t="s">
        <v>187</v>
      </c>
      <c r="B88" s="1" t="s">
        <v>187</v>
      </c>
      <c r="C88" s="1" t="s">
        <v>190</v>
      </c>
      <c r="D88" s="1" t="s">
        <v>191</v>
      </c>
      <c r="E88" s="1">
        <v>15477</v>
      </c>
    </row>
    <row r="89" spans="1:5" x14ac:dyDescent="0.35">
      <c r="A89" s="5" t="s">
        <v>187</v>
      </c>
      <c r="B89" s="1" t="s">
        <v>187</v>
      </c>
      <c r="C89" s="1" t="s">
        <v>192</v>
      </c>
      <c r="D89" s="1" t="s">
        <v>193</v>
      </c>
      <c r="E89" s="1">
        <v>17061</v>
      </c>
    </row>
    <row r="90" spans="1:5" x14ac:dyDescent="0.35">
      <c r="A90" s="5" t="s">
        <v>187</v>
      </c>
      <c r="B90" s="1" t="s">
        <v>187</v>
      </c>
      <c r="C90" s="1" t="s">
        <v>91</v>
      </c>
      <c r="D90" s="1" t="s">
        <v>194</v>
      </c>
      <c r="E90" s="1">
        <v>947.81700000000001</v>
      </c>
    </row>
    <row r="91" spans="1:5" x14ac:dyDescent="0.35">
      <c r="A91" s="5" t="s">
        <v>195</v>
      </c>
      <c r="B91" s="1" t="s">
        <v>196</v>
      </c>
      <c r="C91" s="1" t="s">
        <v>75</v>
      </c>
      <c r="D91" s="1" t="s">
        <v>197</v>
      </c>
      <c r="E91" s="1">
        <v>1</v>
      </c>
    </row>
    <row r="92" spans="1:5" x14ac:dyDescent="0.35">
      <c r="A92" s="5" t="s">
        <v>195</v>
      </c>
      <c r="B92" s="1" t="s">
        <v>196</v>
      </c>
      <c r="C92" s="1" t="s">
        <v>77</v>
      </c>
      <c r="D92" s="1" t="s">
        <v>198</v>
      </c>
      <c r="E92" s="1">
        <v>1000</v>
      </c>
    </row>
    <row r="93" spans="1:5" x14ac:dyDescent="0.35">
      <c r="A93" s="5" t="s">
        <v>195</v>
      </c>
      <c r="B93" s="1" t="s">
        <v>196</v>
      </c>
      <c r="C93" s="1" t="s">
        <v>147</v>
      </c>
      <c r="D93" s="1" t="s">
        <v>199</v>
      </c>
      <c r="E93" s="1">
        <v>3.4119999999999999</v>
      </c>
    </row>
    <row r="94" spans="1:5" x14ac:dyDescent="0.35">
      <c r="A94" s="5" t="s">
        <v>195</v>
      </c>
      <c r="B94" s="1" t="s">
        <v>196</v>
      </c>
      <c r="C94" s="1" t="s">
        <v>149</v>
      </c>
      <c r="D94" s="1" t="s">
        <v>200</v>
      </c>
      <c r="E94" s="1">
        <v>3412</v>
      </c>
    </row>
    <row r="95" spans="1:5" x14ac:dyDescent="0.35">
      <c r="A95" s="5" t="s">
        <v>195</v>
      </c>
      <c r="B95" s="1" t="s">
        <v>196</v>
      </c>
      <c r="C95" s="1" t="s">
        <v>91</v>
      </c>
      <c r="D95" s="1" t="s">
        <v>201</v>
      </c>
      <c r="E95" s="1">
        <v>947.81700000000001</v>
      </c>
    </row>
    <row r="96" spans="1:5" x14ac:dyDescent="0.35">
      <c r="A96" s="5" t="s">
        <v>17</v>
      </c>
      <c r="B96" s="1" t="s">
        <v>17</v>
      </c>
      <c r="C96" s="1" t="s">
        <v>75</v>
      </c>
      <c r="D96" s="1" t="s">
        <v>202</v>
      </c>
      <c r="E96" s="1">
        <v>1</v>
      </c>
    </row>
    <row r="97" spans="1:5" x14ac:dyDescent="0.35">
      <c r="A97" s="5" t="s">
        <v>17</v>
      </c>
      <c r="B97" s="1" t="s">
        <v>17</v>
      </c>
      <c r="C97" s="1" t="s">
        <v>77</v>
      </c>
      <c r="D97" s="1" t="s">
        <v>203</v>
      </c>
      <c r="E97" s="1">
        <v>1000</v>
      </c>
    </row>
    <row r="98" spans="1:5" x14ac:dyDescent="0.35">
      <c r="A98" s="5" t="s">
        <v>17</v>
      </c>
      <c r="B98" s="1" t="s">
        <v>17</v>
      </c>
      <c r="C98" s="1" t="s">
        <v>91</v>
      </c>
      <c r="D98" s="1" t="s">
        <v>204</v>
      </c>
      <c r="E98" s="1">
        <v>947.81700000000001</v>
      </c>
    </row>
    <row r="99" spans="1:5" x14ac:dyDescent="0.35">
      <c r="A99" s="5" t="s">
        <v>205</v>
      </c>
      <c r="B99" s="1" t="s">
        <v>205</v>
      </c>
      <c r="C99" s="1" t="s">
        <v>75</v>
      </c>
      <c r="D99" s="1" t="s">
        <v>206</v>
      </c>
      <c r="E99" s="1">
        <v>1</v>
      </c>
    </row>
    <row r="100" spans="1:5" x14ac:dyDescent="0.35">
      <c r="A100" s="5" t="s">
        <v>205</v>
      </c>
      <c r="B100" s="1" t="s">
        <v>205</v>
      </c>
      <c r="C100" s="1" t="s">
        <v>77</v>
      </c>
      <c r="D100" s="1" t="s">
        <v>207</v>
      </c>
      <c r="E100" s="1">
        <v>1000</v>
      </c>
    </row>
    <row r="101" spans="1:5" x14ac:dyDescent="0.35">
      <c r="A101" s="5" t="s">
        <v>205</v>
      </c>
      <c r="B101" s="1" t="s">
        <v>205</v>
      </c>
      <c r="C101" s="1" t="s">
        <v>79</v>
      </c>
      <c r="D101" s="1" t="s">
        <v>208</v>
      </c>
      <c r="E101" s="1">
        <v>1.0309999999999999</v>
      </c>
    </row>
    <row r="102" spans="1:5" x14ac:dyDescent="0.35">
      <c r="A102" s="5" t="s">
        <v>205</v>
      </c>
      <c r="B102" s="1" t="s">
        <v>205</v>
      </c>
      <c r="C102" s="1" t="s">
        <v>81</v>
      </c>
      <c r="D102" s="1" t="s">
        <v>209</v>
      </c>
      <c r="E102" s="1">
        <v>103.143</v>
      </c>
    </row>
    <row r="103" spans="1:5" x14ac:dyDescent="0.35">
      <c r="A103" s="5" t="s">
        <v>205</v>
      </c>
      <c r="B103" s="1" t="s">
        <v>205</v>
      </c>
      <c r="C103" s="1" t="s">
        <v>83</v>
      </c>
      <c r="D103" s="1" t="s">
        <v>210</v>
      </c>
      <c r="E103" s="1">
        <v>1031</v>
      </c>
    </row>
    <row r="104" spans="1:5" x14ac:dyDescent="0.35">
      <c r="A104" s="5" t="s">
        <v>205</v>
      </c>
      <c r="B104" s="1" t="s">
        <v>205</v>
      </c>
      <c r="C104" s="1" t="s">
        <v>85</v>
      </c>
      <c r="D104" s="1" t="s">
        <v>211</v>
      </c>
      <c r="E104" s="1">
        <v>1031430</v>
      </c>
    </row>
    <row r="105" spans="1:5" x14ac:dyDescent="0.35">
      <c r="A105" s="5" t="s">
        <v>205</v>
      </c>
      <c r="B105" s="1" t="s">
        <v>205</v>
      </c>
      <c r="C105" s="1" t="s">
        <v>87</v>
      </c>
      <c r="D105" s="1" t="s">
        <v>212</v>
      </c>
      <c r="E105" s="1">
        <v>100</v>
      </c>
    </row>
    <row r="106" spans="1:5" x14ac:dyDescent="0.35">
      <c r="A106" s="5" t="s">
        <v>205</v>
      </c>
      <c r="B106" s="1" t="s">
        <v>205</v>
      </c>
      <c r="C106" s="1" t="s">
        <v>89</v>
      </c>
      <c r="D106" s="1" t="s">
        <v>213</v>
      </c>
      <c r="E106" s="1">
        <v>36.424999999999997</v>
      </c>
    </row>
    <row r="107" spans="1:5" x14ac:dyDescent="0.35">
      <c r="A107" s="7" t="s">
        <v>205</v>
      </c>
      <c r="B107" s="1" t="s">
        <v>205</v>
      </c>
      <c r="C107" s="1" t="s">
        <v>91</v>
      </c>
      <c r="D107" s="1" t="s">
        <v>214</v>
      </c>
      <c r="E107" s="1">
        <v>947.81700000000001</v>
      </c>
    </row>
  </sheetData>
  <sheetProtection algorithmName="SHA-512" hashValue="2X3WkEPKDyI1AirtgjXDHV94bz+vpE3xt0QvIwK8DJal1DkYfQayJRUnPr6bv5GOnF92KHadehDWWkAQC/feWw==" saltValue="b7KltRIbZ5tykZX+3/2woA==" spinCount="100000" sheet="1" objects="1" scenarios="1"/>
  <sortState xmlns:xlrd2="http://schemas.microsoft.com/office/spreadsheetml/2017/richdata2" ref="K2:K22">
    <sortCondition ref="K2"/>
  </sortState>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5CA3-8200-4525-ACF9-9FF4B3E6B98E}">
  <dimension ref="B2:Z48"/>
  <sheetViews>
    <sheetView topLeftCell="B1" workbookViewId="0">
      <selection activeCell="D16" sqref="D16"/>
    </sheetView>
  </sheetViews>
  <sheetFormatPr defaultRowHeight="14.5" x14ac:dyDescent="0.35"/>
  <cols>
    <col min="2" max="2" width="27.54296875" bestFit="1" customWidth="1"/>
    <col min="5" max="5" width="12.54296875" bestFit="1" customWidth="1"/>
    <col min="6" max="6" width="11.81640625" bestFit="1" customWidth="1"/>
    <col min="7" max="7" width="15.1796875" bestFit="1" customWidth="1"/>
    <col min="21" max="21" width="9.81640625" bestFit="1" customWidth="1"/>
    <col min="22" max="22" width="15.1796875" bestFit="1" customWidth="1"/>
  </cols>
  <sheetData>
    <row r="2" spans="2:26" x14ac:dyDescent="0.35">
      <c r="C2" s="185" t="s">
        <v>72</v>
      </c>
      <c r="D2" s="185"/>
      <c r="E2" s="185"/>
      <c r="F2" s="185"/>
      <c r="G2" s="185"/>
      <c r="H2" s="185"/>
      <c r="I2" s="185"/>
      <c r="J2" s="185"/>
      <c r="K2" s="185"/>
      <c r="L2" s="185"/>
      <c r="M2" s="185"/>
      <c r="N2" s="185"/>
      <c r="O2" s="185"/>
      <c r="P2" s="185"/>
      <c r="Q2" s="185"/>
      <c r="R2" s="185"/>
      <c r="S2" s="185"/>
      <c r="T2" s="185"/>
      <c r="U2" s="185"/>
      <c r="V2" s="185"/>
      <c r="W2" s="185"/>
      <c r="X2" s="185"/>
      <c r="Y2" s="185"/>
    </row>
    <row r="3" spans="2:26" x14ac:dyDescent="0.35">
      <c r="B3" t="s">
        <v>237</v>
      </c>
      <c r="C3" t="s">
        <v>376</v>
      </c>
      <c r="D3" t="s">
        <v>481</v>
      </c>
      <c r="E3" s="8" t="s">
        <v>81</v>
      </c>
      <c r="F3" s="8" t="s">
        <v>334</v>
      </c>
      <c r="G3" s="8" t="s">
        <v>327</v>
      </c>
      <c r="H3" s="8" t="s">
        <v>364</v>
      </c>
      <c r="I3" s="8" t="s">
        <v>365</v>
      </c>
      <c r="J3" s="8" t="s">
        <v>91</v>
      </c>
      <c r="K3" s="13" t="s">
        <v>75</v>
      </c>
      <c r="L3" s="8" t="s">
        <v>83</v>
      </c>
      <c r="M3" s="8" t="s">
        <v>164</v>
      </c>
      <c r="N3" s="8" t="s">
        <v>366</v>
      </c>
      <c r="O3" s="8" t="s">
        <v>147</v>
      </c>
      <c r="P3" s="8" t="s">
        <v>367</v>
      </c>
      <c r="Q3" s="8" t="s">
        <v>368</v>
      </c>
      <c r="R3" s="8" t="s">
        <v>77</v>
      </c>
      <c r="S3" s="8" t="s">
        <v>85</v>
      </c>
      <c r="T3" s="8" t="s">
        <v>369</v>
      </c>
      <c r="U3" s="8" t="s">
        <v>149</v>
      </c>
      <c r="V3" s="8" t="s">
        <v>363</v>
      </c>
      <c r="W3" s="8" t="s">
        <v>370</v>
      </c>
      <c r="X3" s="8" t="s">
        <v>371</v>
      </c>
      <c r="Y3" s="8" t="s">
        <v>372</v>
      </c>
      <c r="Z3" s="13" t="s">
        <v>250</v>
      </c>
    </row>
    <row r="4" spans="2:26" x14ac:dyDescent="0.35">
      <c r="B4" s="5" t="s">
        <v>347</v>
      </c>
      <c r="E4">
        <v>103.143</v>
      </c>
      <c r="F4">
        <v>1.0309999999999999</v>
      </c>
      <c r="G4">
        <v>36.424999999999997</v>
      </c>
      <c r="J4">
        <v>947.81700000000001</v>
      </c>
      <c r="K4">
        <v>1</v>
      </c>
      <c r="L4">
        <v>1031</v>
      </c>
      <c r="O4">
        <v>3.4119999999999999</v>
      </c>
      <c r="R4">
        <v>1000</v>
      </c>
      <c r="S4">
        <v>1031430</v>
      </c>
      <c r="V4">
        <v>100</v>
      </c>
      <c r="Z4" t="s">
        <v>26</v>
      </c>
    </row>
    <row r="5" spans="2:26" x14ac:dyDescent="0.35">
      <c r="B5" s="5" t="s">
        <v>348</v>
      </c>
      <c r="H5">
        <v>167.184</v>
      </c>
      <c r="I5">
        <v>139.21</v>
      </c>
      <c r="J5">
        <v>947.81700000000001</v>
      </c>
      <c r="K5">
        <v>1</v>
      </c>
      <c r="O5">
        <v>3.4119999999999999</v>
      </c>
      <c r="Q5">
        <v>36.774999999999999</v>
      </c>
      <c r="R5">
        <v>1000</v>
      </c>
      <c r="Z5" t="s">
        <v>26</v>
      </c>
    </row>
    <row r="6" spans="2:26" x14ac:dyDescent="0.35">
      <c r="B6" s="5" t="s">
        <v>349</v>
      </c>
      <c r="H6">
        <v>167.184</v>
      </c>
      <c r="I6">
        <v>139.21</v>
      </c>
      <c r="J6">
        <v>947.81700000000001</v>
      </c>
      <c r="K6">
        <v>1</v>
      </c>
      <c r="O6">
        <v>3.4119999999999999</v>
      </c>
      <c r="Q6">
        <v>36.774999999999999</v>
      </c>
      <c r="R6">
        <v>1000</v>
      </c>
      <c r="Z6" t="s">
        <v>26</v>
      </c>
    </row>
    <row r="7" spans="2:26" x14ac:dyDescent="0.35">
      <c r="B7" s="5" t="s">
        <v>350</v>
      </c>
      <c r="H7">
        <v>167.184</v>
      </c>
      <c r="I7">
        <v>139.21</v>
      </c>
      <c r="J7">
        <v>947.81700000000001</v>
      </c>
      <c r="K7">
        <v>1</v>
      </c>
      <c r="O7">
        <v>3.4119999999999999</v>
      </c>
      <c r="Q7">
        <v>36.774999999999999</v>
      </c>
      <c r="R7">
        <v>1000</v>
      </c>
      <c r="Z7" t="s">
        <v>26</v>
      </c>
    </row>
    <row r="8" spans="2:26" x14ac:dyDescent="0.35">
      <c r="B8" s="5" t="s">
        <v>351</v>
      </c>
      <c r="H8">
        <v>183.12700000000001</v>
      </c>
      <c r="I8">
        <v>152.48500000000001</v>
      </c>
      <c r="J8">
        <v>947.81700000000001</v>
      </c>
      <c r="K8">
        <v>1</v>
      </c>
      <c r="O8">
        <v>3.4119999999999999</v>
      </c>
      <c r="Q8">
        <v>40.281999999999996</v>
      </c>
      <c r="R8">
        <v>1000</v>
      </c>
      <c r="Z8" t="s">
        <v>26</v>
      </c>
    </row>
    <row r="9" spans="2:26" x14ac:dyDescent="0.35">
      <c r="B9" s="5" t="s">
        <v>66</v>
      </c>
      <c r="H9">
        <v>165.029</v>
      </c>
      <c r="I9">
        <v>137.416</v>
      </c>
      <c r="J9">
        <v>947.81700000000001</v>
      </c>
      <c r="K9">
        <v>1</v>
      </c>
      <c r="O9">
        <v>3.4119999999999999</v>
      </c>
      <c r="Q9">
        <v>36.301000000000002</v>
      </c>
      <c r="R9">
        <v>1000</v>
      </c>
      <c r="Z9" t="s">
        <v>26</v>
      </c>
    </row>
    <row r="10" spans="2:26" x14ac:dyDescent="0.35">
      <c r="B10" s="5" t="s">
        <v>68</v>
      </c>
      <c r="H10">
        <v>162.358</v>
      </c>
      <c r="I10">
        <v>135.191</v>
      </c>
      <c r="J10">
        <v>947.81700000000001</v>
      </c>
      <c r="K10">
        <v>1</v>
      </c>
      <c r="O10">
        <v>3.4119999999999999</v>
      </c>
      <c r="Q10">
        <v>35.713999999999999</v>
      </c>
      <c r="R10">
        <v>1000</v>
      </c>
      <c r="Z10" t="s">
        <v>26</v>
      </c>
    </row>
    <row r="11" spans="2:26" x14ac:dyDescent="0.35">
      <c r="B11" s="5" t="s">
        <v>56</v>
      </c>
      <c r="E11">
        <v>251.6</v>
      </c>
      <c r="F11">
        <v>2.516</v>
      </c>
      <c r="H11">
        <v>109.057</v>
      </c>
      <c r="I11">
        <v>90.808999999999997</v>
      </c>
      <c r="J11">
        <v>947.81700000000001</v>
      </c>
      <c r="K11">
        <v>1</v>
      </c>
      <c r="O11">
        <v>3.4119999999999999</v>
      </c>
      <c r="Q11">
        <v>23.989000000000001</v>
      </c>
      <c r="R11">
        <v>1000</v>
      </c>
      <c r="Z11" t="s">
        <v>26</v>
      </c>
    </row>
    <row r="12" spans="2:26" x14ac:dyDescent="0.35">
      <c r="B12" s="5" t="s">
        <v>15</v>
      </c>
      <c r="J12">
        <v>947.81700000000001</v>
      </c>
      <c r="K12">
        <v>1</v>
      </c>
      <c r="O12">
        <v>3.4119999999999999</v>
      </c>
      <c r="R12">
        <v>1000</v>
      </c>
      <c r="U12">
        <v>3412</v>
      </c>
      <c r="Z12" t="s">
        <v>25</v>
      </c>
    </row>
    <row r="13" spans="2:26" x14ac:dyDescent="0.35">
      <c r="B13" s="5" t="s">
        <v>23</v>
      </c>
      <c r="J13">
        <v>947.81700000000001</v>
      </c>
      <c r="K13">
        <v>1</v>
      </c>
      <c r="O13">
        <v>3.4119999999999999</v>
      </c>
      <c r="R13">
        <v>1000</v>
      </c>
      <c r="U13">
        <v>3412</v>
      </c>
      <c r="Z13" t="s">
        <v>26</v>
      </c>
    </row>
    <row r="14" spans="2:26" x14ac:dyDescent="0.35">
      <c r="B14" s="5" t="s">
        <v>352</v>
      </c>
      <c r="C14">
        <v>1</v>
      </c>
      <c r="D14">
        <v>1E-3</v>
      </c>
      <c r="J14">
        <v>1</v>
      </c>
      <c r="K14">
        <v>1</v>
      </c>
      <c r="M14">
        <v>1</v>
      </c>
      <c r="O14">
        <v>1</v>
      </c>
      <c r="R14">
        <v>1</v>
      </c>
      <c r="Z14" t="s">
        <v>26</v>
      </c>
    </row>
    <row r="15" spans="2:26" x14ac:dyDescent="0.35">
      <c r="B15" s="5" t="s">
        <v>353</v>
      </c>
      <c r="J15">
        <v>947.81700000000001</v>
      </c>
      <c r="K15">
        <v>1</v>
      </c>
      <c r="M15">
        <v>2.6320000000000001</v>
      </c>
      <c r="N15">
        <v>1194</v>
      </c>
      <c r="O15">
        <v>3.4119999999999999</v>
      </c>
      <c r="P15">
        <v>1.194</v>
      </c>
      <c r="R15">
        <v>1000</v>
      </c>
      <c r="T15">
        <v>1194000</v>
      </c>
      <c r="V15">
        <v>100</v>
      </c>
      <c r="Z15" t="s">
        <v>26</v>
      </c>
    </row>
    <row r="16" spans="2:26" x14ac:dyDescent="0.35">
      <c r="B16" s="5" t="s">
        <v>354</v>
      </c>
      <c r="J16">
        <v>947.81700000000001</v>
      </c>
      <c r="K16">
        <v>1</v>
      </c>
      <c r="O16">
        <v>3.4119999999999999</v>
      </c>
      <c r="R16">
        <v>1000</v>
      </c>
      <c r="V16">
        <v>100</v>
      </c>
      <c r="Z16" t="s">
        <v>26</v>
      </c>
    </row>
    <row r="17" spans="2:26" x14ac:dyDescent="0.35">
      <c r="B17" s="5" t="s">
        <v>355</v>
      </c>
      <c r="J17">
        <v>947.81700000000001</v>
      </c>
      <c r="K17">
        <v>1</v>
      </c>
      <c r="O17">
        <v>3.4119999999999999</v>
      </c>
      <c r="R17">
        <v>1000</v>
      </c>
      <c r="W17">
        <v>12</v>
      </c>
      <c r="Z17" t="s">
        <v>25</v>
      </c>
    </row>
    <row r="18" spans="2:26" x14ac:dyDescent="0.35">
      <c r="B18" s="5" t="s">
        <v>356</v>
      </c>
      <c r="J18">
        <v>947.81700000000001</v>
      </c>
      <c r="K18">
        <v>1</v>
      </c>
      <c r="O18">
        <v>3.4119999999999999</v>
      </c>
      <c r="R18">
        <v>1000</v>
      </c>
      <c r="W18">
        <v>12</v>
      </c>
      <c r="Z18" t="s">
        <v>26</v>
      </c>
    </row>
    <row r="19" spans="2:26" x14ac:dyDescent="0.35">
      <c r="B19" s="5" t="s">
        <v>357</v>
      </c>
      <c r="J19">
        <v>947.81700000000001</v>
      </c>
      <c r="K19">
        <v>1</v>
      </c>
      <c r="O19">
        <v>3.4119999999999999</v>
      </c>
      <c r="R19">
        <v>1000</v>
      </c>
      <c r="W19">
        <v>12</v>
      </c>
      <c r="Z19" t="s">
        <v>26</v>
      </c>
    </row>
    <row r="20" spans="2:26" x14ac:dyDescent="0.35">
      <c r="B20" s="5" t="s">
        <v>187</v>
      </c>
      <c r="J20">
        <v>947.81700000000001</v>
      </c>
      <c r="K20">
        <v>1</v>
      </c>
      <c r="O20">
        <v>3.4119999999999999</v>
      </c>
      <c r="R20">
        <v>1000</v>
      </c>
      <c r="X20">
        <v>17061</v>
      </c>
      <c r="Y20">
        <v>15477</v>
      </c>
      <c r="Z20" t="s">
        <v>26</v>
      </c>
    </row>
    <row r="21" spans="2:26" x14ac:dyDescent="0.35">
      <c r="B21" s="5" t="s">
        <v>358</v>
      </c>
      <c r="J21">
        <v>947.81700000000001</v>
      </c>
      <c r="K21">
        <v>1</v>
      </c>
      <c r="O21">
        <v>3.4119999999999999</v>
      </c>
      <c r="R21">
        <v>1000</v>
      </c>
      <c r="U21">
        <v>3412</v>
      </c>
      <c r="Z21" t="s">
        <v>25</v>
      </c>
    </row>
    <row r="22" spans="2:26" x14ac:dyDescent="0.35">
      <c r="B22" s="5" t="s">
        <v>17</v>
      </c>
      <c r="J22">
        <v>947.81700000000001</v>
      </c>
      <c r="K22">
        <v>1</v>
      </c>
      <c r="O22">
        <v>3.4119999999999999</v>
      </c>
      <c r="R22">
        <v>1000</v>
      </c>
      <c r="Z22" t="s">
        <v>26</v>
      </c>
    </row>
    <row r="23" spans="2:26" x14ac:dyDescent="0.35">
      <c r="B23" s="5" t="s">
        <v>205</v>
      </c>
      <c r="E23">
        <v>103.143</v>
      </c>
      <c r="F23">
        <v>1.0309999999999999</v>
      </c>
      <c r="G23">
        <v>36.424999999999997</v>
      </c>
      <c r="J23">
        <v>947.81700000000001</v>
      </c>
      <c r="K23">
        <v>1</v>
      </c>
      <c r="L23">
        <v>1031</v>
      </c>
      <c r="O23">
        <v>3.4119999999999999</v>
      </c>
      <c r="R23">
        <v>1000</v>
      </c>
      <c r="S23">
        <v>1031430</v>
      </c>
      <c r="V23">
        <v>100</v>
      </c>
      <c r="Z23" t="s">
        <v>26</v>
      </c>
    </row>
    <row r="28" spans="2:26" x14ac:dyDescent="0.35">
      <c r="B28" t="s">
        <v>237</v>
      </c>
    </row>
    <row r="29" spans="2:26" x14ac:dyDescent="0.35">
      <c r="B29" s="5" t="s">
        <v>73</v>
      </c>
      <c r="C29" t="s">
        <v>318</v>
      </c>
      <c r="D29" t="s">
        <v>317</v>
      </c>
      <c r="E29" t="s">
        <v>316</v>
      </c>
      <c r="F29" t="s">
        <v>323</v>
      </c>
      <c r="G29" t="s">
        <v>340</v>
      </c>
      <c r="H29" t="s">
        <v>321</v>
      </c>
      <c r="I29" t="s">
        <v>339</v>
      </c>
      <c r="J29" t="s">
        <v>344</v>
      </c>
      <c r="K29" t="s">
        <v>335</v>
      </c>
    </row>
    <row r="30" spans="2:26" x14ac:dyDescent="0.35">
      <c r="B30" s="5" t="s">
        <v>58</v>
      </c>
      <c r="C30" t="s">
        <v>341</v>
      </c>
      <c r="D30" t="s">
        <v>342</v>
      </c>
      <c r="E30" t="s">
        <v>321</v>
      </c>
      <c r="F30" t="s">
        <v>339</v>
      </c>
      <c r="G30" t="s">
        <v>343</v>
      </c>
      <c r="H30" t="s">
        <v>344</v>
      </c>
    </row>
    <row r="31" spans="2:26" x14ac:dyDescent="0.35">
      <c r="B31" s="5" t="s">
        <v>60</v>
      </c>
      <c r="C31" t="s">
        <v>341</v>
      </c>
      <c r="D31" t="s">
        <v>342</v>
      </c>
      <c r="E31" t="s">
        <v>321</v>
      </c>
      <c r="F31" t="s">
        <v>339</v>
      </c>
      <c r="G31" t="s">
        <v>343</v>
      </c>
      <c r="H31" t="s">
        <v>344</v>
      </c>
    </row>
    <row r="32" spans="2:26" x14ac:dyDescent="0.35">
      <c r="B32" s="5" t="s">
        <v>62</v>
      </c>
      <c r="C32" t="s">
        <v>341</v>
      </c>
      <c r="D32" t="s">
        <v>342</v>
      </c>
      <c r="E32" t="s">
        <v>321</v>
      </c>
      <c r="F32" t="s">
        <v>339</v>
      </c>
      <c r="G32" t="s">
        <v>343</v>
      </c>
      <c r="H32" t="s">
        <v>344</v>
      </c>
    </row>
    <row r="33" spans="2:11" x14ac:dyDescent="0.35">
      <c r="B33" s="5" t="s">
        <v>64</v>
      </c>
      <c r="C33" t="s">
        <v>341</v>
      </c>
      <c r="D33" t="s">
        <v>342</v>
      </c>
      <c r="E33" t="s">
        <v>321</v>
      </c>
      <c r="F33" t="s">
        <v>339</v>
      </c>
      <c r="G33" t="s">
        <v>343</v>
      </c>
      <c r="H33" t="s">
        <v>344</v>
      </c>
    </row>
    <row r="34" spans="2:11" x14ac:dyDescent="0.35">
      <c r="B34" s="5" t="s">
        <v>66</v>
      </c>
      <c r="C34" t="s">
        <v>341</v>
      </c>
      <c r="D34" t="s">
        <v>342</v>
      </c>
      <c r="E34" t="s">
        <v>321</v>
      </c>
      <c r="F34" t="s">
        <v>339</v>
      </c>
      <c r="G34" t="s">
        <v>343</v>
      </c>
      <c r="H34" t="s">
        <v>344</v>
      </c>
    </row>
    <row r="35" spans="2:11" x14ac:dyDescent="0.35">
      <c r="B35" s="5" t="s">
        <v>68</v>
      </c>
      <c r="C35" t="s">
        <v>341</v>
      </c>
      <c r="D35" t="s">
        <v>342</v>
      </c>
      <c r="E35" t="s">
        <v>321</v>
      </c>
      <c r="F35" t="s">
        <v>339</v>
      </c>
      <c r="G35" t="s">
        <v>343</v>
      </c>
      <c r="H35" t="s">
        <v>344</v>
      </c>
    </row>
    <row r="36" spans="2:11" x14ac:dyDescent="0.35">
      <c r="B36" s="5" t="s">
        <v>56</v>
      </c>
      <c r="C36" t="s">
        <v>317</v>
      </c>
      <c r="D36" t="s">
        <v>316</v>
      </c>
      <c r="E36" t="s">
        <v>341</v>
      </c>
      <c r="F36" t="s">
        <v>342</v>
      </c>
      <c r="G36" t="s">
        <v>321</v>
      </c>
      <c r="H36" t="s">
        <v>339</v>
      </c>
      <c r="I36" t="s">
        <v>343</v>
      </c>
      <c r="J36" t="s">
        <v>344</v>
      </c>
    </row>
    <row r="37" spans="2:11" x14ac:dyDescent="0.35">
      <c r="B37" s="5" t="s">
        <v>15</v>
      </c>
      <c r="C37" t="s">
        <v>326</v>
      </c>
      <c r="D37" t="s">
        <v>333</v>
      </c>
      <c r="E37" t="s">
        <v>321</v>
      </c>
      <c r="F37" t="s">
        <v>339</v>
      </c>
      <c r="G37" t="s">
        <v>344</v>
      </c>
    </row>
    <row r="38" spans="2:11" x14ac:dyDescent="0.35">
      <c r="B38" s="5" t="s">
        <v>23</v>
      </c>
      <c r="C38" t="s">
        <v>326</v>
      </c>
    </row>
    <row r="39" spans="2:11" x14ac:dyDescent="0.35">
      <c r="B39" s="5" t="s">
        <v>30</v>
      </c>
      <c r="C39" t="s">
        <v>345</v>
      </c>
    </row>
    <row r="40" spans="2:11" x14ac:dyDescent="0.35">
      <c r="B40" s="5" t="s">
        <v>21</v>
      </c>
      <c r="C40" t="s">
        <v>321</v>
      </c>
      <c r="D40" t="s">
        <v>339</v>
      </c>
      <c r="E40" t="s">
        <v>344</v>
      </c>
      <c r="F40" t="s">
        <v>335</v>
      </c>
      <c r="G40" t="s">
        <v>324</v>
      </c>
      <c r="H40" t="s">
        <v>328</v>
      </c>
      <c r="I40" t="s">
        <v>325</v>
      </c>
      <c r="J40" t="s">
        <v>346</v>
      </c>
    </row>
    <row r="41" spans="2:11" x14ac:dyDescent="0.35">
      <c r="B41" s="5" t="s">
        <v>46</v>
      </c>
      <c r="C41" t="s">
        <v>321</v>
      </c>
      <c r="D41" t="s">
        <v>339</v>
      </c>
      <c r="E41" t="s">
        <v>344</v>
      </c>
      <c r="F41" t="s">
        <v>335</v>
      </c>
    </row>
    <row r="42" spans="2:11" x14ac:dyDescent="0.35">
      <c r="B42" s="5" t="s">
        <v>48</v>
      </c>
      <c r="C42" t="s">
        <v>321</v>
      </c>
      <c r="D42" t="s">
        <v>339</v>
      </c>
      <c r="E42" t="s">
        <v>344</v>
      </c>
      <c r="F42" t="s">
        <v>336</v>
      </c>
    </row>
    <row r="43" spans="2:11" x14ac:dyDescent="0.35">
      <c r="B43" s="5" t="s">
        <v>50</v>
      </c>
      <c r="C43" t="s">
        <v>321</v>
      </c>
      <c r="D43" t="s">
        <v>339</v>
      </c>
      <c r="E43" t="s">
        <v>344</v>
      </c>
      <c r="F43" t="s">
        <v>336</v>
      </c>
    </row>
    <row r="44" spans="2:11" x14ac:dyDescent="0.35">
      <c r="B44" s="5" t="s">
        <v>52</v>
      </c>
      <c r="C44" t="s">
        <v>321</v>
      </c>
      <c r="D44" t="s">
        <v>339</v>
      </c>
      <c r="E44" t="s">
        <v>344</v>
      </c>
      <c r="F44" t="s">
        <v>336</v>
      </c>
    </row>
    <row r="45" spans="2:11" x14ac:dyDescent="0.35">
      <c r="B45" s="5" t="s">
        <v>187</v>
      </c>
      <c r="C45" t="s">
        <v>321</v>
      </c>
      <c r="D45" t="s">
        <v>339</v>
      </c>
      <c r="E45" t="s">
        <v>344</v>
      </c>
      <c r="F45" t="s">
        <v>337</v>
      </c>
      <c r="G45" t="s">
        <v>338</v>
      </c>
    </row>
    <row r="46" spans="2:11" x14ac:dyDescent="0.35">
      <c r="B46" s="5" t="s">
        <v>195</v>
      </c>
      <c r="C46" t="s">
        <v>326</v>
      </c>
      <c r="D46" t="s">
        <v>333</v>
      </c>
      <c r="E46" t="s">
        <v>321</v>
      </c>
      <c r="F46" t="s">
        <v>339</v>
      </c>
      <c r="G46" t="s">
        <v>344</v>
      </c>
    </row>
    <row r="47" spans="2:11" x14ac:dyDescent="0.35">
      <c r="B47" s="5" t="s">
        <v>17</v>
      </c>
      <c r="C47" t="s">
        <v>326</v>
      </c>
      <c r="D47" t="s">
        <v>321</v>
      </c>
      <c r="E47" t="s">
        <v>339</v>
      </c>
      <c r="F47" t="s">
        <v>344</v>
      </c>
    </row>
    <row r="48" spans="2:11" x14ac:dyDescent="0.35">
      <c r="B48" s="5" t="s">
        <v>205</v>
      </c>
      <c r="C48" t="s">
        <v>318</v>
      </c>
      <c r="D48" t="s">
        <v>317</v>
      </c>
      <c r="E48" t="s">
        <v>316</v>
      </c>
      <c r="F48" t="s">
        <v>323</v>
      </c>
      <c r="G48" t="s">
        <v>331</v>
      </c>
      <c r="H48" t="s">
        <v>321</v>
      </c>
      <c r="I48" t="s">
        <v>339</v>
      </c>
      <c r="J48" t="s">
        <v>344</v>
      </c>
      <c r="K48" t="s">
        <v>335</v>
      </c>
    </row>
  </sheetData>
  <mergeCells count="1">
    <mergeCell ref="C2:Y2"/>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C207C-D91B-493F-BFFB-0C9D66F9FC0E}">
  <dimension ref="A1"/>
  <sheetViews>
    <sheetView topLeftCell="J1" zoomScaleNormal="100" workbookViewId="0">
      <selection activeCell="D16" sqref="D16"/>
    </sheetView>
  </sheetViews>
  <sheetFormatPr defaultRowHeight="14.5" x14ac:dyDescent="0.35"/>
  <cols>
    <col min="1" max="9" width="0" hidden="1" customWidth="1"/>
  </cols>
  <sheetData/>
  <sheetProtection algorithmName="SHA-512" hashValue="FtGSqk8ALVGKVASDLcjnuyyryie1m37FOL15VXD5QmZjxBoX5/PM8weFf4Vt86R+du6/1EHT9qoRcUY8yCOE+g==" saltValue="6NCbbZ21aRaLxmlHZ9kNx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1922BC96FCE244B795266490D494F0" ma:contentTypeVersion="12" ma:contentTypeDescription="Create a new document." ma:contentTypeScope="" ma:versionID="f724fb6bd1033a0b8b586781e9b31167">
  <xsd:schema xmlns:xsd="http://www.w3.org/2001/XMLSchema" xmlns:xs="http://www.w3.org/2001/XMLSchema" xmlns:p="http://schemas.microsoft.com/office/2006/metadata/properties" xmlns:ns2="b1177efe-8131-4fd9-9137-ef71dd57020f" xmlns:ns3="838a2c47-7390-4b46-b30e-4f25b69e327b" targetNamespace="http://schemas.microsoft.com/office/2006/metadata/properties" ma:root="true" ma:fieldsID="c05b083aa8e62ccd8d21ae1e0dc40a36" ns2:_="" ns3:_="">
    <xsd:import namespace="b1177efe-8131-4fd9-9137-ef71dd57020f"/>
    <xsd:import namespace="838a2c47-7390-4b46-b30e-4f25b69e327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177efe-8131-4fd9-9137-ef71dd57020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8a2c47-7390-4b46-b30e-4f25b69e327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7F8F55-9EB6-437F-BE35-145564518B35}">
  <ds:schemaRefs>
    <ds:schemaRef ds:uri="http://schemas.microsoft.com/sharepoint/v3/contenttype/forms"/>
  </ds:schemaRefs>
</ds:datastoreItem>
</file>

<file path=customXml/itemProps2.xml><?xml version="1.0" encoding="utf-8"?>
<ds:datastoreItem xmlns:ds="http://schemas.openxmlformats.org/officeDocument/2006/customXml" ds:itemID="{B574CF87-3B3B-4B1E-9A16-BF7722B35313}">
  <ds:schemaRefs>
    <ds:schemaRef ds:uri="838a2c47-7390-4b46-b30e-4f25b69e327b"/>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b1177efe-8131-4fd9-9137-ef71dd57020f"/>
    <ds:schemaRef ds:uri="http://www.w3.org/XML/1998/namespace"/>
    <ds:schemaRef ds:uri="http://purl.org/dc/dcmitype/"/>
  </ds:schemaRefs>
</ds:datastoreItem>
</file>

<file path=customXml/itemProps3.xml><?xml version="1.0" encoding="utf-8"?>
<ds:datastoreItem xmlns:ds="http://schemas.openxmlformats.org/officeDocument/2006/customXml" ds:itemID="{E36AB81B-63C7-4B69-BE82-9B6EB31D97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177efe-8131-4fd9-9137-ef71dd57020f"/>
    <ds:schemaRef ds:uri="838a2c47-7390-4b46-b30e-4f25b69e32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21</vt:i4>
      </vt:variant>
    </vt:vector>
  </HeadingPairs>
  <TitlesOfParts>
    <vt:vector size="30" baseType="lpstr">
      <vt:lpstr>Password</vt:lpstr>
      <vt:lpstr>Instructions</vt:lpstr>
      <vt:lpstr>General Project Info</vt:lpstr>
      <vt:lpstr>Scenarios &amp; Measures</vt:lpstr>
      <vt:lpstr>Results</vt:lpstr>
      <vt:lpstr>Emissions Tables</vt:lpstr>
      <vt:lpstr>Unit Conversions</vt:lpstr>
      <vt:lpstr>Unit Conversions Array</vt:lpstr>
      <vt:lpstr>Logo and Colour</vt:lpstr>
      <vt:lpstr>Biogas</vt:lpstr>
      <vt:lpstr>Biomass</vt:lpstr>
      <vt:lpstr>Carbon_Offset</vt:lpstr>
      <vt:lpstr>Chilled_Water_Electric_Drive</vt:lpstr>
      <vt:lpstr>Chilled_Water_Gas_Absorption</vt:lpstr>
      <vt:lpstr>Chilled_Water_Gas_Engine</vt:lpstr>
      <vt:lpstr>Diesel</vt:lpstr>
      <vt:lpstr>District_Hot_Water</vt:lpstr>
      <vt:lpstr>District_Steam</vt:lpstr>
      <vt:lpstr>Electricity</vt:lpstr>
      <vt:lpstr>Fuel_Oil_1</vt:lpstr>
      <vt:lpstr>Fuel_Oil_2</vt:lpstr>
      <vt:lpstr>Fuel_Oil_4</vt:lpstr>
      <vt:lpstr>Fuel_Oil_5_and_6</vt:lpstr>
      <vt:lpstr>Kerosene</vt:lpstr>
      <vt:lpstr>Meets_ZCB_option</vt:lpstr>
      <vt:lpstr>Natural_Gas</vt:lpstr>
      <vt:lpstr>Other</vt:lpstr>
      <vt:lpstr>Propane</vt:lpstr>
      <vt:lpstr>RECs</vt:lpstr>
      <vt:lpstr>Solar_PV_or_Wind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Onysko</dc:creator>
  <cp:lastModifiedBy>Jordan, Ally</cp:lastModifiedBy>
  <cp:lastPrinted>2019-09-26T20:31:21Z</cp:lastPrinted>
  <dcterms:created xsi:type="dcterms:W3CDTF">2019-09-16T01:25:51Z</dcterms:created>
  <dcterms:modified xsi:type="dcterms:W3CDTF">2021-04-02T13:26:12Z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0x0101006C1922BC96FCE244B795266490D494F0</vt:lpwstr>
  </property>
</Properties>
</file>