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jratcliff\Downloads\"/>
    </mc:Choice>
  </mc:AlternateContent>
  <xr:revisionPtr revIDLastSave="0" documentId="13_ncr:1_{6FE8AA3E-05BC-435E-9DF5-1CB5188587A7}" xr6:coauthVersionLast="47" xr6:coauthVersionMax="47" xr10:uidLastSave="{00000000-0000-0000-0000-000000000000}"/>
  <bookViews>
    <workbookView xWindow="19090" yWindow="580" windowWidth="19420" windowHeight="10560" xr2:uid="{00000000-000D-0000-FFFF-FFFF00000000}"/>
  </bookViews>
  <sheets>
    <sheet name="Calendar" sheetId="1" r:id="rId1"/>
    <sheet name="Events" sheetId="3" r:id="rId2"/>
    <sheet name="Settings" sheetId="2" r:id="rId3"/>
  </sheets>
  <definedNames>
    <definedName name="_xlnm._FilterDatabase" localSheetId="1" hidden="1">Events!$A$2:$E$87</definedName>
    <definedName name="eventlabels2">Settings!$P$2:$P$20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2" l="1"/>
  <c r="A12" i="2"/>
  <c r="A10" i="2"/>
  <c r="A16" i="2"/>
  <c r="A17" i="2"/>
  <c r="A18" i="2"/>
  <c r="A19" i="2"/>
  <c r="A20" i="2"/>
  <c r="A21" i="2"/>
  <c r="A22" i="2"/>
  <c r="A23" i="2"/>
  <c r="A24" i="2"/>
  <c r="A25" i="2"/>
  <c r="A26" i="2"/>
  <c r="A15" i="2"/>
  <c r="B8" i="2" l="1"/>
  <c r="B7" i="2"/>
  <c r="X34" i="1"/>
  <c r="W34" i="1"/>
  <c r="V34" i="1"/>
  <c r="U34" i="1"/>
  <c r="T34" i="1"/>
  <c r="S34" i="1"/>
  <c r="P34" i="1"/>
  <c r="O34" i="1"/>
  <c r="N34" i="1"/>
  <c r="M34" i="1"/>
  <c r="L34" i="1"/>
  <c r="K34" i="1"/>
  <c r="H34" i="1"/>
  <c r="G34" i="1"/>
  <c r="F34" i="1"/>
  <c r="E34" i="1"/>
  <c r="D34" i="1"/>
  <c r="C34" i="1"/>
  <c r="X25" i="1"/>
  <c r="W25" i="1"/>
  <c r="V25" i="1"/>
  <c r="U25" i="1"/>
  <c r="T25" i="1"/>
  <c r="S25" i="1"/>
  <c r="P25" i="1"/>
  <c r="O25" i="1"/>
  <c r="N25" i="1"/>
  <c r="M25" i="1"/>
  <c r="L25" i="1"/>
  <c r="K25" i="1"/>
  <c r="H25" i="1"/>
  <c r="G25" i="1"/>
  <c r="F25" i="1"/>
  <c r="E25" i="1"/>
  <c r="D25" i="1"/>
  <c r="C25" i="1"/>
  <c r="X16" i="1"/>
  <c r="W16" i="1"/>
  <c r="V16" i="1"/>
  <c r="U16" i="1"/>
  <c r="T16" i="1"/>
  <c r="S16" i="1"/>
  <c r="P16" i="1"/>
  <c r="O16" i="1"/>
  <c r="N16" i="1"/>
  <c r="M16" i="1"/>
  <c r="L16" i="1"/>
  <c r="K16" i="1"/>
  <c r="H16" i="1"/>
  <c r="G16" i="1"/>
  <c r="F16" i="1"/>
  <c r="E16" i="1"/>
  <c r="D16" i="1"/>
  <c r="C16" i="1"/>
  <c r="X7" i="1"/>
  <c r="W7" i="1"/>
  <c r="V7" i="1"/>
  <c r="U7" i="1"/>
  <c r="T7" i="1"/>
  <c r="S7" i="1"/>
  <c r="P7" i="1"/>
  <c r="O7" i="1"/>
  <c r="N7" i="1"/>
  <c r="M7" i="1"/>
  <c r="L7" i="1"/>
  <c r="K7" i="1"/>
  <c r="H7" i="1" l="1"/>
  <c r="G7" i="1"/>
  <c r="F7" i="1"/>
  <c r="E7" i="1"/>
  <c r="D7" i="1"/>
  <c r="C7" i="1"/>
  <c r="B4" i="2"/>
  <c r="B3" i="2"/>
  <c r="B2" i="2"/>
  <c r="A44" i="3" l="1"/>
  <c r="A34" i="3"/>
  <c r="C34" i="3" s="1"/>
  <c r="A72" i="3"/>
  <c r="C72" i="3" s="1"/>
  <c r="A9" i="3"/>
  <c r="C9" i="3" s="1"/>
  <c r="A77" i="3"/>
  <c r="A27" i="3"/>
  <c r="C27" i="3" s="1"/>
  <c r="A38" i="3"/>
  <c r="C38" i="3" s="1"/>
  <c r="A75" i="3"/>
  <c r="C75" i="3" s="1"/>
  <c r="A33" i="3"/>
  <c r="C33" i="3" s="1"/>
  <c r="A18" i="3"/>
  <c r="C18" i="3" s="1"/>
  <c r="A37" i="3"/>
  <c r="C37" i="3" s="1"/>
  <c r="A74" i="3"/>
  <c r="C74" i="3" s="1"/>
  <c r="A23" i="3"/>
  <c r="C23" i="3" s="1"/>
  <c r="A14" i="3"/>
  <c r="C14" i="3" s="1"/>
  <c r="A35" i="3"/>
  <c r="C35" i="3" s="1"/>
  <c r="A69" i="3"/>
  <c r="C69" i="3" s="1"/>
  <c r="A17" i="3"/>
  <c r="C17" i="3" s="1"/>
  <c r="A12" i="3"/>
  <c r="C12" i="3" s="1"/>
  <c r="A31" i="3"/>
  <c r="C31" i="3" s="1"/>
  <c r="A67" i="3"/>
  <c r="C67" i="3" s="1"/>
  <c r="A70" i="3"/>
  <c r="C70" i="3" s="1"/>
  <c r="A78" i="3"/>
  <c r="C78" i="3" s="1"/>
  <c r="A30" i="3"/>
  <c r="C30" i="3" s="1"/>
  <c r="A62" i="3"/>
  <c r="C62" i="3" s="1"/>
  <c r="A64" i="3"/>
  <c r="C64" i="3" s="1"/>
  <c r="A73" i="3"/>
  <c r="C73" i="3" s="1"/>
  <c r="A29" i="3"/>
  <c r="C29" i="3" s="1"/>
  <c r="A57" i="3"/>
  <c r="C57" i="3" s="1"/>
  <c r="A58" i="3"/>
  <c r="C58" i="3" s="1"/>
  <c r="A68" i="3"/>
  <c r="C68" i="3" s="1"/>
  <c r="A28" i="3"/>
  <c r="C28" i="3" s="1"/>
  <c r="A59" i="3"/>
  <c r="C59" i="3" s="1"/>
  <c r="A50" i="3"/>
  <c r="C50" i="3" s="1"/>
  <c r="A61" i="3"/>
  <c r="C61" i="3" s="1"/>
  <c r="A40" i="3"/>
  <c r="C40" i="3" s="1"/>
  <c r="A53" i="3"/>
  <c r="C53" i="3" s="1"/>
  <c r="A43" i="3"/>
  <c r="C43" i="3" s="1"/>
  <c r="A55" i="3"/>
  <c r="C55" i="3" s="1"/>
  <c r="A24" i="3"/>
  <c r="C24" i="3" s="1"/>
  <c r="A51" i="3"/>
  <c r="C51" i="3" s="1"/>
  <c r="A25" i="3"/>
  <c r="C25" i="3" s="1"/>
  <c r="A45" i="3"/>
  <c r="C45" i="3" s="1"/>
  <c r="A15" i="3"/>
  <c r="C15" i="3" s="1"/>
  <c r="A46" i="3"/>
  <c r="C46" i="3" s="1"/>
  <c r="A39" i="3"/>
  <c r="C39" i="3" s="1"/>
  <c r="A10" i="3"/>
  <c r="C10" i="3" s="1"/>
  <c r="A41" i="3"/>
  <c r="C41" i="3" s="1"/>
  <c r="A1" i="1"/>
  <c r="B6" i="1"/>
  <c r="J15" i="1" s="1"/>
  <c r="J25" i="1"/>
  <c r="R25" i="1"/>
  <c r="J16" i="1"/>
  <c r="B34" i="1"/>
  <c r="J7" i="1"/>
  <c r="J34" i="1"/>
  <c r="R7" i="1"/>
  <c r="R34" i="1"/>
  <c r="B16" i="1"/>
  <c r="R16" i="1"/>
  <c r="B25" i="1"/>
  <c r="B7" i="1"/>
  <c r="R15" i="1" l="1"/>
  <c r="R17" i="1" s="1"/>
  <c r="S17" i="1" s="1"/>
  <c r="T17" i="1" s="1"/>
  <c r="U17" i="1" s="1"/>
  <c r="V17" i="1" s="1"/>
  <c r="W17" i="1" s="1"/>
  <c r="X17" i="1" s="1"/>
  <c r="R18" i="1" s="1"/>
  <c r="S18" i="1" s="1"/>
  <c r="T18" i="1" s="1"/>
  <c r="U18" i="1" s="1"/>
  <c r="V18" i="1" s="1"/>
  <c r="W18" i="1" s="1"/>
  <c r="X18" i="1" s="1"/>
  <c r="R19" i="1" s="1"/>
  <c r="S19" i="1" s="1"/>
  <c r="T19" i="1" s="1"/>
  <c r="U19" i="1" s="1"/>
  <c r="V19" i="1" s="1"/>
  <c r="W19" i="1" s="1"/>
  <c r="X19" i="1" s="1"/>
  <c r="R20" i="1" s="1"/>
  <c r="S20" i="1" s="1"/>
  <c r="T20" i="1" s="1"/>
  <c r="U20" i="1" s="1"/>
  <c r="V20" i="1" s="1"/>
  <c r="W20" i="1" s="1"/>
  <c r="X20" i="1" s="1"/>
  <c r="R21" i="1" s="1"/>
  <c r="S21" i="1" s="1"/>
  <c r="T21" i="1" s="1"/>
  <c r="U21" i="1" s="1"/>
  <c r="V21" i="1" s="1"/>
  <c r="W21" i="1" s="1"/>
  <c r="X21" i="1" s="1"/>
  <c r="R22" i="1" s="1"/>
  <c r="S22" i="1" s="1"/>
  <c r="T22" i="1" s="1"/>
  <c r="U22" i="1" s="1"/>
  <c r="V22" i="1" s="1"/>
  <c r="W22" i="1" s="1"/>
  <c r="X22" i="1" s="1"/>
  <c r="B8" i="1"/>
  <c r="C8" i="1" s="1"/>
  <c r="D8" i="1" s="1"/>
  <c r="E8" i="1" s="1"/>
  <c r="F8" i="1" s="1"/>
  <c r="G8" i="1" s="1"/>
  <c r="H8" i="1" s="1"/>
  <c r="B9" i="1" s="1"/>
  <c r="C9" i="1" s="1"/>
  <c r="D9" i="1" s="1"/>
  <c r="E9" i="1" s="1"/>
  <c r="F9" i="1" s="1"/>
  <c r="G9" i="1" s="1"/>
  <c r="H9" i="1" s="1"/>
  <c r="B10" i="1" s="1"/>
  <c r="C10" i="1" s="1"/>
  <c r="D10" i="1" s="1"/>
  <c r="E10" i="1" s="1"/>
  <c r="F10" i="1" s="1"/>
  <c r="G10" i="1" s="1"/>
  <c r="H10" i="1" s="1"/>
  <c r="B11" i="1" s="1"/>
  <c r="C11" i="1" s="1"/>
  <c r="D11" i="1" s="1"/>
  <c r="E11" i="1" s="1"/>
  <c r="F11" i="1" s="1"/>
  <c r="G11" i="1" s="1"/>
  <c r="H11" i="1" s="1"/>
  <c r="B12" i="1" s="1"/>
  <c r="C12" i="1" s="1"/>
  <c r="D12" i="1" s="1"/>
  <c r="E12" i="1" s="1"/>
  <c r="F12" i="1" s="1"/>
  <c r="G12" i="1" s="1"/>
  <c r="H12" i="1" s="1"/>
  <c r="B15" i="1"/>
  <c r="B17" i="1" s="1"/>
  <c r="C17" i="1" s="1"/>
  <c r="D17" i="1" s="1"/>
  <c r="E17" i="1" s="1"/>
  <c r="F17" i="1" s="1"/>
  <c r="G17" i="1" s="1"/>
  <c r="H17" i="1" s="1"/>
  <c r="B18" i="1" s="1"/>
  <c r="C18" i="1" s="1"/>
  <c r="D18" i="1" s="1"/>
  <c r="E18" i="1" s="1"/>
  <c r="F18" i="1" s="1"/>
  <c r="G18" i="1" s="1"/>
  <c r="H18" i="1" s="1"/>
  <c r="B19" i="1" s="1"/>
  <c r="C19" i="1" s="1"/>
  <c r="D19" i="1" s="1"/>
  <c r="E19" i="1" s="1"/>
  <c r="F19" i="1" s="1"/>
  <c r="G19" i="1" s="1"/>
  <c r="H19" i="1" s="1"/>
  <c r="B20" i="1" s="1"/>
  <c r="C20" i="1" s="1"/>
  <c r="D20" i="1" s="1"/>
  <c r="E20" i="1" s="1"/>
  <c r="F20" i="1" s="1"/>
  <c r="G20" i="1" s="1"/>
  <c r="H20" i="1" s="1"/>
  <c r="B21" i="1" s="1"/>
  <c r="C21" i="1" s="1"/>
  <c r="D21" i="1" s="1"/>
  <c r="E21" i="1" s="1"/>
  <c r="F21" i="1" s="1"/>
  <c r="G21" i="1" s="1"/>
  <c r="H21" i="1" s="1"/>
  <c r="B22" i="1" s="1"/>
  <c r="C22" i="1" s="1"/>
  <c r="D22" i="1" s="1"/>
  <c r="E22" i="1" s="1"/>
  <c r="F22" i="1" s="1"/>
  <c r="G22" i="1" s="1"/>
  <c r="H22" i="1" s="1"/>
  <c r="B24" i="1"/>
  <c r="B26" i="1" s="1"/>
  <c r="C26" i="1" s="1"/>
  <c r="D26" i="1" s="1"/>
  <c r="E26" i="1" s="1"/>
  <c r="F26" i="1" s="1"/>
  <c r="G26" i="1" s="1"/>
  <c r="H26" i="1" s="1"/>
  <c r="B27" i="1" s="1"/>
  <c r="C27" i="1" s="1"/>
  <c r="D27" i="1" s="1"/>
  <c r="E27" i="1" s="1"/>
  <c r="F27" i="1" s="1"/>
  <c r="G27" i="1" s="1"/>
  <c r="H27" i="1" s="1"/>
  <c r="B28" i="1" s="1"/>
  <c r="C28" i="1" s="1"/>
  <c r="D28" i="1" s="1"/>
  <c r="E28" i="1" s="1"/>
  <c r="F28" i="1" s="1"/>
  <c r="G28" i="1" s="1"/>
  <c r="H28" i="1" s="1"/>
  <c r="B29" i="1" s="1"/>
  <c r="C29" i="1" s="1"/>
  <c r="D29" i="1" s="1"/>
  <c r="E29" i="1" s="1"/>
  <c r="F29" i="1" s="1"/>
  <c r="G29" i="1" s="1"/>
  <c r="H29" i="1" s="1"/>
  <c r="B30" i="1" s="1"/>
  <c r="C30" i="1" s="1"/>
  <c r="D30" i="1" s="1"/>
  <c r="E30" i="1" s="1"/>
  <c r="F30" i="1" s="1"/>
  <c r="G30" i="1" s="1"/>
  <c r="H30" i="1" s="1"/>
  <c r="B31" i="1" s="1"/>
  <c r="C31" i="1" s="1"/>
  <c r="D31" i="1" s="1"/>
  <c r="E31" i="1" s="1"/>
  <c r="F31" i="1" s="1"/>
  <c r="G31" i="1" s="1"/>
  <c r="H31" i="1" s="1"/>
  <c r="R6" i="1"/>
  <c r="R8" i="1" s="1"/>
  <c r="S8" i="1" s="1"/>
  <c r="T8" i="1" s="1"/>
  <c r="U8" i="1" s="1"/>
  <c r="V8" i="1" s="1"/>
  <c r="W8" i="1" s="1"/>
  <c r="X8" i="1" s="1"/>
  <c r="R9" i="1" s="1"/>
  <c r="S9" i="1" s="1"/>
  <c r="T9" i="1" s="1"/>
  <c r="U9" i="1" s="1"/>
  <c r="V9" i="1" s="1"/>
  <c r="W9" i="1" s="1"/>
  <c r="X9" i="1" s="1"/>
  <c r="R10" i="1" s="1"/>
  <c r="S10" i="1" s="1"/>
  <c r="T10" i="1" s="1"/>
  <c r="U10" i="1" s="1"/>
  <c r="V10" i="1" s="1"/>
  <c r="W10" i="1" s="1"/>
  <c r="X10" i="1" s="1"/>
  <c r="R11" i="1" s="1"/>
  <c r="S11" i="1" s="1"/>
  <c r="T11" i="1" s="1"/>
  <c r="U11" i="1" s="1"/>
  <c r="V11" i="1" s="1"/>
  <c r="W11" i="1" s="1"/>
  <c r="X11" i="1" s="1"/>
  <c r="R12" i="1" s="1"/>
  <c r="S12" i="1" s="1"/>
  <c r="T12" i="1" s="1"/>
  <c r="U12" i="1" s="1"/>
  <c r="V12" i="1" s="1"/>
  <c r="W12" i="1" s="1"/>
  <c r="X12" i="1" s="1"/>
  <c r="R13" i="1" s="1"/>
  <c r="S13" i="1" s="1"/>
  <c r="T13" i="1" s="1"/>
  <c r="U13" i="1" s="1"/>
  <c r="V13" i="1" s="1"/>
  <c r="W13" i="1" s="1"/>
  <c r="X13" i="1" s="1"/>
  <c r="J24" i="1"/>
  <c r="J26" i="1" s="1"/>
  <c r="K26" i="1" s="1"/>
  <c r="L26" i="1" s="1"/>
  <c r="M26" i="1" s="1"/>
  <c r="N26" i="1" s="1"/>
  <c r="O26" i="1" s="1"/>
  <c r="P26" i="1" s="1"/>
  <c r="J27" i="1" s="1"/>
  <c r="K27" i="1" s="1"/>
  <c r="L27" i="1" s="1"/>
  <c r="M27" i="1" s="1"/>
  <c r="N27" i="1" s="1"/>
  <c r="O27" i="1" s="1"/>
  <c r="P27" i="1" s="1"/>
  <c r="J28" i="1" s="1"/>
  <c r="K28" i="1" s="1"/>
  <c r="L28" i="1" s="1"/>
  <c r="M28" i="1" s="1"/>
  <c r="N28" i="1" s="1"/>
  <c r="O28" i="1" s="1"/>
  <c r="P28" i="1" s="1"/>
  <c r="J29" i="1" s="1"/>
  <c r="K29" i="1" s="1"/>
  <c r="L29" i="1" s="1"/>
  <c r="M29" i="1" s="1"/>
  <c r="N29" i="1" s="1"/>
  <c r="O29" i="1" s="1"/>
  <c r="P29" i="1" s="1"/>
  <c r="J30" i="1" s="1"/>
  <c r="K30" i="1" s="1"/>
  <c r="L30" i="1" s="1"/>
  <c r="M30" i="1" s="1"/>
  <c r="N30" i="1" s="1"/>
  <c r="O30" i="1" s="1"/>
  <c r="P30" i="1" s="1"/>
  <c r="J31" i="1" s="1"/>
  <c r="K31" i="1" s="1"/>
  <c r="L31" i="1" s="1"/>
  <c r="M31" i="1" s="1"/>
  <c r="N31" i="1" s="1"/>
  <c r="O31" i="1" s="1"/>
  <c r="P31" i="1" s="1"/>
  <c r="R24" i="1"/>
  <c r="R26" i="1" s="1"/>
  <c r="S26" i="1" s="1"/>
  <c r="T26" i="1" s="1"/>
  <c r="U26" i="1" s="1"/>
  <c r="V26" i="1" s="1"/>
  <c r="W26" i="1" s="1"/>
  <c r="X26" i="1" s="1"/>
  <c r="R27" i="1" s="1"/>
  <c r="S27" i="1" s="1"/>
  <c r="T27" i="1" s="1"/>
  <c r="U27" i="1" s="1"/>
  <c r="V27" i="1" s="1"/>
  <c r="W27" i="1" s="1"/>
  <c r="X27" i="1" s="1"/>
  <c r="R28" i="1" s="1"/>
  <c r="S28" i="1" s="1"/>
  <c r="T28" i="1" s="1"/>
  <c r="U28" i="1" s="1"/>
  <c r="V28" i="1" s="1"/>
  <c r="W28" i="1" s="1"/>
  <c r="X28" i="1" s="1"/>
  <c r="R29" i="1" s="1"/>
  <c r="S29" i="1" s="1"/>
  <c r="T29" i="1" s="1"/>
  <c r="U29" i="1" s="1"/>
  <c r="V29" i="1" s="1"/>
  <c r="W29" i="1" s="1"/>
  <c r="X29" i="1" s="1"/>
  <c r="R30" i="1" s="1"/>
  <c r="S30" i="1" s="1"/>
  <c r="T30" i="1" s="1"/>
  <c r="U30" i="1" s="1"/>
  <c r="V30" i="1" s="1"/>
  <c r="W30" i="1" s="1"/>
  <c r="X30" i="1" s="1"/>
  <c r="R31" i="1" s="1"/>
  <c r="S31" i="1" s="1"/>
  <c r="T31" i="1" s="1"/>
  <c r="U31" i="1" s="1"/>
  <c r="V31" i="1" s="1"/>
  <c r="W31" i="1" s="1"/>
  <c r="X31" i="1" s="1"/>
  <c r="J6" i="1"/>
  <c r="J8" i="1" s="1"/>
  <c r="K8" i="1" s="1"/>
  <c r="L8" i="1" s="1"/>
  <c r="M8" i="1" s="1"/>
  <c r="N8" i="1" s="1"/>
  <c r="O8" i="1" s="1"/>
  <c r="P8" i="1" s="1"/>
  <c r="J9" i="1" s="1"/>
  <c r="K9" i="1" s="1"/>
  <c r="L9" i="1" s="1"/>
  <c r="M9" i="1" s="1"/>
  <c r="N9" i="1" s="1"/>
  <c r="O9" i="1" s="1"/>
  <c r="P9" i="1" s="1"/>
  <c r="J10" i="1" s="1"/>
  <c r="K10" i="1" s="1"/>
  <c r="L10" i="1" s="1"/>
  <c r="M10" i="1" s="1"/>
  <c r="N10" i="1" s="1"/>
  <c r="O10" i="1" s="1"/>
  <c r="P10" i="1" s="1"/>
  <c r="J11" i="1" s="1"/>
  <c r="K11" i="1" s="1"/>
  <c r="L11" i="1" s="1"/>
  <c r="M11" i="1" s="1"/>
  <c r="N11" i="1" s="1"/>
  <c r="O11" i="1" s="1"/>
  <c r="P11" i="1" s="1"/>
  <c r="J12" i="1" s="1"/>
  <c r="K12" i="1" s="1"/>
  <c r="L12" i="1" s="1"/>
  <c r="M12" i="1" s="1"/>
  <c r="N12" i="1" s="1"/>
  <c r="O12" i="1" s="1"/>
  <c r="P12" i="1" s="1"/>
  <c r="J13" i="1" s="1"/>
  <c r="K13" i="1" s="1"/>
  <c r="L13" i="1" s="1"/>
  <c r="M13" i="1" s="1"/>
  <c r="N13" i="1" s="1"/>
  <c r="O13" i="1" s="1"/>
  <c r="P13" i="1" s="1"/>
  <c r="B33" i="1"/>
  <c r="B35" i="1" s="1"/>
  <c r="C35" i="1" s="1"/>
  <c r="D35" i="1" s="1"/>
  <c r="E35" i="1" s="1"/>
  <c r="F35" i="1" s="1"/>
  <c r="G35" i="1" s="1"/>
  <c r="H35" i="1" s="1"/>
  <c r="B36" i="1" s="1"/>
  <c r="C36" i="1" s="1"/>
  <c r="D36" i="1" s="1"/>
  <c r="E36" i="1" s="1"/>
  <c r="F36" i="1" s="1"/>
  <c r="G36" i="1" s="1"/>
  <c r="H36" i="1" s="1"/>
  <c r="B37" i="1" s="1"/>
  <c r="C37" i="1" s="1"/>
  <c r="D37" i="1" s="1"/>
  <c r="E37" i="1" s="1"/>
  <c r="F37" i="1" s="1"/>
  <c r="G37" i="1" s="1"/>
  <c r="H37" i="1" s="1"/>
  <c r="B38" i="1" s="1"/>
  <c r="C38" i="1" s="1"/>
  <c r="D38" i="1" s="1"/>
  <c r="E38" i="1" s="1"/>
  <c r="F38" i="1" s="1"/>
  <c r="G38" i="1" s="1"/>
  <c r="H38" i="1" s="1"/>
  <c r="B39" i="1" s="1"/>
  <c r="C39" i="1" s="1"/>
  <c r="D39" i="1" s="1"/>
  <c r="E39" i="1" s="1"/>
  <c r="F39" i="1" s="1"/>
  <c r="G39" i="1" s="1"/>
  <c r="H39" i="1" s="1"/>
  <c r="B40" i="1" s="1"/>
  <c r="C40" i="1" s="1"/>
  <c r="D40" i="1" s="1"/>
  <c r="E40" i="1" s="1"/>
  <c r="F40" i="1" s="1"/>
  <c r="G40" i="1" s="1"/>
  <c r="H40" i="1" s="1"/>
  <c r="J33" i="1"/>
  <c r="J35" i="1" s="1"/>
  <c r="K35" i="1" s="1"/>
  <c r="L35" i="1" s="1"/>
  <c r="M35" i="1" s="1"/>
  <c r="N35" i="1" s="1"/>
  <c r="O35" i="1" s="1"/>
  <c r="P35" i="1" s="1"/>
  <c r="J36" i="1" s="1"/>
  <c r="K36" i="1" s="1"/>
  <c r="L36" i="1" s="1"/>
  <c r="M36" i="1" s="1"/>
  <c r="N36" i="1" s="1"/>
  <c r="O36" i="1" s="1"/>
  <c r="P36" i="1" s="1"/>
  <c r="J37" i="1" s="1"/>
  <c r="K37" i="1" s="1"/>
  <c r="L37" i="1" s="1"/>
  <c r="M37" i="1" s="1"/>
  <c r="N37" i="1" s="1"/>
  <c r="O37" i="1" s="1"/>
  <c r="P37" i="1" s="1"/>
  <c r="J38" i="1" s="1"/>
  <c r="K38" i="1" s="1"/>
  <c r="L38" i="1" s="1"/>
  <c r="M38" i="1" s="1"/>
  <c r="N38" i="1" s="1"/>
  <c r="O38" i="1" s="1"/>
  <c r="P38" i="1" s="1"/>
  <c r="J39" i="1" s="1"/>
  <c r="K39" i="1" s="1"/>
  <c r="L39" i="1" s="1"/>
  <c r="M39" i="1" s="1"/>
  <c r="N39" i="1" s="1"/>
  <c r="O39" i="1" s="1"/>
  <c r="P39" i="1" s="1"/>
  <c r="J40" i="1" s="1"/>
  <c r="K40" i="1" s="1"/>
  <c r="L40" i="1" s="1"/>
  <c r="M40" i="1" s="1"/>
  <c r="N40" i="1" s="1"/>
  <c r="O40" i="1" s="1"/>
  <c r="P40" i="1" s="1"/>
  <c r="R33" i="1"/>
  <c r="R35" i="1" s="1"/>
  <c r="S35" i="1" s="1"/>
  <c r="T35" i="1" s="1"/>
  <c r="U35" i="1" s="1"/>
  <c r="V35" i="1" s="1"/>
  <c r="W35" i="1" s="1"/>
  <c r="X35" i="1" s="1"/>
  <c r="R36" i="1" s="1"/>
  <c r="S36" i="1" s="1"/>
  <c r="T36" i="1" s="1"/>
  <c r="U36" i="1" s="1"/>
  <c r="V36" i="1" s="1"/>
  <c r="W36" i="1" s="1"/>
  <c r="X36" i="1" s="1"/>
  <c r="R37" i="1" s="1"/>
  <c r="S37" i="1" s="1"/>
  <c r="T37" i="1" s="1"/>
  <c r="U37" i="1" s="1"/>
  <c r="V37" i="1" s="1"/>
  <c r="W37" i="1" s="1"/>
  <c r="X37" i="1" s="1"/>
  <c r="R38" i="1" s="1"/>
  <c r="S38" i="1" s="1"/>
  <c r="T38" i="1" s="1"/>
  <c r="U38" i="1" s="1"/>
  <c r="V38" i="1" s="1"/>
  <c r="W38" i="1" s="1"/>
  <c r="X38" i="1" s="1"/>
  <c r="R39" i="1" s="1"/>
  <c r="S39" i="1" s="1"/>
  <c r="T39" i="1" s="1"/>
  <c r="U39" i="1" s="1"/>
  <c r="V39" i="1" s="1"/>
  <c r="W39" i="1" s="1"/>
  <c r="X39" i="1" s="1"/>
  <c r="R40" i="1" s="1"/>
  <c r="S40" i="1" s="1"/>
  <c r="T40" i="1" s="1"/>
  <c r="U40" i="1" s="1"/>
  <c r="V40" i="1" s="1"/>
  <c r="W40" i="1" s="1"/>
  <c r="X40" i="1" s="1"/>
  <c r="J17" i="1"/>
  <c r="K17" i="1" s="1"/>
  <c r="L17" i="1" s="1"/>
  <c r="M17" i="1" s="1"/>
  <c r="N17" i="1" s="1"/>
  <c r="O17" i="1" s="1"/>
  <c r="P17" i="1" s="1"/>
  <c r="J18" i="1" s="1"/>
  <c r="K18" i="1" s="1"/>
  <c r="L18" i="1" s="1"/>
  <c r="M18" i="1" s="1"/>
  <c r="N18" i="1" s="1"/>
  <c r="O18" i="1" s="1"/>
  <c r="P18" i="1" s="1"/>
  <c r="J19" i="1" s="1"/>
  <c r="K19" i="1" s="1"/>
  <c r="L19" i="1" s="1"/>
  <c r="M19" i="1" s="1"/>
  <c r="N19" i="1" s="1"/>
  <c r="O19" i="1" s="1"/>
  <c r="P19" i="1" s="1"/>
  <c r="J20" i="1" s="1"/>
  <c r="K20" i="1" s="1"/>
  <c r="L20" i="1" s="1"/>
  <c r="M20" i="1" s="1"/>
  <c r="N20" i="1" s="1"/>
  <c r="O20" i="1" s="1"/>
  <c r="P20" i="1" s="1"/>
  <c r="J21" i="1" s="1"/>
  <c r="K21" i="1" s="1"/>
  <c r="L21" i="1" s="1"/>
  <c r="M21" i="1" s="1"/>
  <c r="N21" i="1" s="1"/>
  <c r="O21" i="1" s="1"/>
  <c r="P21" i="1" s="1"/>
  <c r="J22" i="1" s="1"/>
  <c r="K22" i="1" s="1"/>
  <c r="L22" i="1" s="1"/>
  <c r="M22" i="1" s="1"/>
  <c r="N22" i="1" s="1"/>
  <c r="O22" i="1" s="1"/>
  <c r="P22" i="1" s="1"/>
  <c r="B13" i="1" l="1"/>
  <c r="C13" i="1" s="1"/>
  <c r="D13" i="1" s="1"/>
  <c r="E13" i="1" s="1"/>
  <c r="F13" i="1" s="1"/>
  <c r="G13" i="1" s="1"/>
  <c r="H13" i="1" s="1"/>
</calcChain>
</file>

<file path=xl/sharedStrings.xml><?xml version="1.0" encoding="utf-8"?>
<sst xmlns="http://schemas.openxmlformats.org/spreadsheetml/2006/main" count="279" uniqueCount="91">
  <si>
    <t xml:space="preserve"> </t>
  </si>
  <si>
    <t>Index value</t>
  </si>
  <si>
    <t>Dropbox output index</t>
  </si>
  <si>
    <t>Year</t>
  </si>
  <si>
    <t>Month</t>
  </si>
  <si>
    <t>DOW</t>
  </si>
  <si>
    <t>DOW2</t>
  </si>
  <si>
    <t>Jan</t>
  </si>
  <si>
    <t>Sun</t>
  </si>
  <si>
    <t>Starting Month</t>
  </si>
  <si>
    <t>Feb</t>
  </si>
  <si>
    <t>Mon</t>
  </si>
  <si>
    <t>Starting day of week</t>
  </si>
  <si>
    <t>Mar</t>
  </si>
  <si>
    <t>Tue</t>
  </si>
  <si>
    <t>Apr</t>
  </si>
  <si>
    <t>Wed</t>
  </si>
  <si>
    <t>May</t>
  </si>
  <si>
    <t>Thu</t>
  </si>
  <si>
    <t>Highlight Sat</t>
  </si>
  <si>
    <t>Jun</t>
  </si>
  <si>
    <t>Fri</t>
  </si>
  <si>
    <t>Highlight Sun</t>
  </si>
  <si>
    <t>Jul</t>
  </si>
  <si>
    <t>Sat</t>
  </si>
  <si>
    <t>Aug</t>
  </si>
  <si>
    <t>Sep</t>
  </si>
  <si>
    <t>Oct</t>
  </si>
  <si>
    <t>Nov</t>
  </si>
  <si>
    <t>Dec</t>
  </si>
  <si>
    <t>Start Date</t>
  </si>
  <si>
    <t>End Date</t>
  </si>
  <si>
    <t>Event Title</t>
  </si>
  <si>
    <t>YEA</t>
  </si>
  <si>
    <t>Martin Luther King Jr. Day</t>
  </si>
  <si>
    <t>DEI</t>
  </si>
  <si>
    <t>Event Level</t>
  </si>
  <si>
    <t>Society</t>
  </si>
  <si>
    <t>Region</t>
  </si>
  <si>
    <t>Chapter</t>
  </si>
  <si>
    <t>Committees</t>
  </si>
  <si>
    <t>Holiday</t>
  </si>
  <si>
    <t>Monthly Program</t>
  </si>
  <si>
    <t>BOG Meeting</t>
  </si>
  <si>
    <t>Student Activities</t>
  </si>
  <si>
    <t>Membership</t>
  </si>
  <si>
    <t>GA</t>
  </si>
  <si>
    <t>Historical</t>
  </si>
  <si>
    <t>RP</t>
  </si>
  <si>
    <t>CTTC</t>
  </si>
  <si>
    <t>Committee</t>
  </si>
  <si>
    <t>Special Event</t>
  </si>
  <si>
    <t>University Exams</t>
  </si>
  <si>
    <t>University Fall Break</t>
  </si>
  <si>
    <t>University Winter Break</t>
  </si>
  <si>
    <t>Good Friday</t>
  </si>
  <si>
    <t>YEA Leadership Weekend (Chicago)</t>
  </si>
  <si>
    <t>YLW 2.0 (possibly weekend prior)</t>
  </si>
  <si>
    <t>Deadline for Leadership U</t>
  </si>
  <si>
    <t>RP Centralized Training</t>
  </si>
  <si>
    <t>Student Activities Centralized Training</t>
  </si>
  <si>
    <t>International Women in Engineering Day</t>
  </si>
  <si>
    <t>BuildGreen Atlantic</t>
  </si>
  <si>
    <t>The Sixth International Conference on Efficient Building Design (Beiruit)</t>
  </si>
  <si>
    <t>Heritage Day - Stuff is closed in Canada</t>
  </si>
  <si>
    <t>MP Centralized Training</t>
  </si>
  <si>
    <t>Region II CRC - Toronto</t>
  </si>
  <si>
    <t>National Day for Truth and Reconciliation (Canada)</t>
  </si>
  <si>
    <t>2024 ASHRAE Conference for Integrated Design, Construction &amp; Operations</t>
  </si>
  <si>
    <t>2024 Women in ASHRAE Leadership Symposium (Chicago)</t>
  </si>
  <si>
    <t>2024 ASHRAE Decarbonization Conference: Decarbonizing Existing Tall Buildings (New York City)</t>
  </si>
  <si>
    <t>IEQ 2025 Conference - ASHRAE and AIVC (Montreal)</t>
  </si>
  <si>
    <t>Third International Conference on Energy and Indoor Environment for Hot Climates (Doha, Qatar)</t>
  </si>
  <si>
    <t>March Break</t>
  </si>
  <si>
    <t>Victoria Day (Canada)</t>
  </si>
  <si>
    <t>ASHRAE Annual Conference 2026 (Austin)</t>
  </si>
  <si>
    <t>ASHRAE Annual Conference 2025 (Phoenix)</t>
  </si>
  <si>
    <t>ASHRAE Annual Conference 2024 (Indianapolis)</t>
  </si>
  <si>
    <t>ASHRAE Winter Conference (Las Vegas)</t>
  </si>
  <si>
    <t>2026 AHR Show (Las Vegas)</t>
  </si>
  <si>
    <t>ASHRAE Winter Conference (Orlando)</t>
  </si>
  <si>
    <t>2025 AHR Show (Orlando)</t>
  </si>
  <si>
    <t>University Classes Start (Winter Term)</t>
  </si>
  <si>
    <t>Munro Day - University Closed</t>
  </si>
  <si>
    <t>First Day University (Fall Terms)</t>
  </si>
  <si>
    <t>Deadline to Sign Up - YEA Leadership International (YLI) - Singapore</t>
  </si>
  <si>
    <t>2024 YEA Leadership International (YLI)-Singapore</t>
  </si>
  <si>
    <t>Deadline to Apply for YEA Scholarship for HVAC Design Essentials Training</t>
  </si>
  <si>
    <t>Deadline to Apply for Society College Scholarships</t>
  </si>
  <si>
    <t>Events relevant to ASHRAE Halifax Chapter as Sample Data -Add Your Events Here</t>
  </si>
  <si>
    <t>Last Updated May 13,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</si>
</sst>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/yyyy"/>
    <numFmt numFmtId="165" formatCode="d"/>
    <numFmt numFmtId="166" formatCode="mmmm"/>
    <numFmt numFmtId="167" formatCode="yyyy/mm/dd\ \(ddd\);@"/>
  </numFmts>
  <fonts count="11" x14ac:knownFonts="1">
    <font>
      <sz val="11"/>
      <color theme="1"/>
      <name val="Arial"/>
      <family val="2"/>
    </font>
    <font>
      <b/>
      <sz val="36"/>
      <color theme="0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sz val="8"/>
      <color rgb="FF000000"/>
      <name val="Segoe UI"/>
      <family val="2"/>
    </font>
    <font>
      <b/>
      <sz val="2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165" fontId="2" fillId="0" borderId="1" xfId="0" applyNumberFormat="1" applyFont="1" applyBorder="1" applyAlignment="1">
      <alignment horizontal="center" vertical="center"/>
    </xf>
    <xf numFmtId="166" fontId="6" fillId="5" borderId="0" xfId="0" applyNumberFormat="1" applyFont="1" applyFill="1" applyAlignment="1">
      <alignment horizontal="left"/>
    </xf>
    <xf numFmtId="0" fontId="8" fillId="0" borderId="0" xfId="0" applyFont="1"/>
    <xf numFmtId="0" fontId="7" fillId="0" borderId="0" xfId="0" applyFont="1"/>
    <xf numFmtId="167" fontId="7" fillId="0" borderId="0" xfId="0" applyNumberFormat="1" applyFont="1" applyAlignment="1">
      <alignment horizontal="left" shrinkToFit="1"/>
    </xf>
    <xf numFmtId="167" fontId="9" fillId="0" borderId="0" xfId="0" applyNumberFormat="1" applyFont="1" applyAlignment="1">
      <alignment horizontal="left" shrinkToFit="1"/>
    </xf>
    <xf numFmtId="0" fontId="10" fillId="0" borderId="0" xfId="0" applyFont="1"/>
    <xf numFmtId="0" fontId="9" fillId="0" borderId="0" xfId="0" applyFont="1"/>
    <xf numFmtId="0" fontId="0" fillId="6" borderId="0" xfId="0" applyFill="1"/>
    <xf numFmtId="0" fontId="1" fillId="2" borderId="0" xfId="0" applyFont="1" applyFill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331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ont>
        <b/>
        <i val="0"/>
        <color theme="0"/>
      </font>
      <fill>
        <patternFill>
          <bgColor rgb="FF00A9CE"/>
        </patternFill>
      </fill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/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003087"/>
        </patternFill>
      </fill>
    </dxf>
    <dxf>
      <font>
        <b/>
        <i val="0"/>
        <color theme="0"/>
      </font>
      <fill>
        <patternFill>
          <bgColor rgb="FF003087"/>
        </patternFill>
      </fill>
    </dxf>
    <dxf>
      <font>
        <b/>
        <i val="0"/>
        <color theme="0"/>
      </font>
      <fill>
        <patternFill>
          <bgColor rgb="FF84BD00"/>
        </patternFill>
      </fill>
    </dxf>
    <dxf>
      <font>
        <b/>
        <i val="0"/>
        <color theme="0"/>
      </font>
      <fill>
        <patternFill>
          <bgColor rgb="FF84BD00"/>
        </patternFill>
      </fill>
    </dxf>
    <dxf>
      <font>
        <b/>
        <i val="0"/>
        <color theme="0"/>
      </font>
      <fill>
        <patternFill>
          <bgColor rgb="FF02B7A7"/>
        </patternFill>
      </fill>
    </dxf>
    <dxf>
      <font>
        <b/>
        <i val="0"/>
        <color theme="0"/>
      </font>
      <fill>
        <patternFill>
          <bgColor rgb="FFD5B142"/>
        </patternFill>
      </fill>
    </dxf>
    <dxf>
      <font>
        <b/>
        <i val="0"/>
        <color theme="0"/>
      </font>
      <fill>
        <patternFill>
          <bgColor rgb="FF00ADEE"/>
        </patternFill>
      </fill>
    </dxf>
    <dxf>
      <font>
        <b/>
        <i val="0"/>
        <color auto="1"/>
      </font>
      <fill>
        <patternFill>
          <bgColor rgb="FFD5E5EB"/>
        </patternFill>
      </fill>
    </dxf>
    <dxf>
      <font>
        <b val="0"/>
        <i val="0"/>
        <color theme="0"/>
      </font>
      <fill>
        <patternFill>
          <bgColor rgb="FF787D81"/>
        </patternFill>
      </fill>
    </dxf>
    <dxf>
      <font>
        <b/>
        <i val="0"/>
        <color theme="0"/>
      </font>
      <fill>
        <patternFill>
          <bgColor rgb="FF003087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C000C2"/>
        </patternFill>
      </fill>
    </dxf>
    <dxf>
      <font>
        <b val="0"/>
        <i val="0"/>
        <color theme="0"/>
      </font>
      <fill>
        <patternFill>
          <bgColor rgb="FF787D81"/>
        </patternFill>
      </fill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/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003087"/>
        </patternFill>
      </fill>
    </dxf>
    <dxf>
      <font>
        <b/>
        <i val="0"/>
        <color theme="0"/>
      </font>
      <fill>
        <patternFill>
          <bgColor rgb="FF00A9CE"/>
        </patternFill>
      </fill>
    </dxf>
    <dxf>
      <font>
        <b/>
        <i val="0"/>
        <color theme="0"/>
      </font>
      <fill>
        <patternFill>
          <bgColor rgb="FF84BD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84BD00"/>
        </patternFill>
      </fill>
    </dxf>
    <dxf>
      <font>
        <b/>
        <i val="0"/>
        <color theme="0"/>
      </font>
      <fill>
        <patternFill>
          <bgColor rgb="FF02B7A7"/>
        </patternFill>
      </fill>
    </dxf>
    <dxf>
      <font>
        <b/>
        <i val="0"/>
        <color theme="0"/>
      </font>
      <fill>
        <patternFill>
          <bgColor rgb="FFD5B142"/>
        </patternFill>
      </fill>
    </dxf>
    <dxf>
      <font>
        <b/>
        <i val="0"/>
        <color theme="0"/>
      </font>
      <fill>
        <patternFill>
          <bgColor rgb="FF00ADEE"/>
        </patternFill>
      </fill>
    </dxf>
    <dxf>
      <font>
        <b/>
        <i val="0"/>
        <color auto="1"/>
      </font>
      <fill>
        <patternFill>
          <bgColor rgb="FFD5E5EB"/>
        </patternFill>
      </fill>
    </dxf>
    <dxf>
      <font>
        <b/>
        <i val="0"/>
        <color theme="0"/>
      </font>
      <fill>
        <patternFill>
          <bgColor rgb="FFC000C2"/>
        </patternFill>
      </fill>
    </dxf>
    <dxf>
      <font>
        <b/>
        <i val="0"/>
        <color theme="0"/>
      </font>
      <fill>
        <patternFill>
          <bgColor rgb="FF003087"/>
        </patternFill>
      </fill>
    </dxf>
    <dxf>
      <font>
        <b/>
        <i val="0"/>
        <color theme="0"/>
      </font>
      <fill>
        <patternFill>
          <bgColor rgb="FF003087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3087"/>
        </patternFill>
      </fill>
    </dxf>
    <dxf>
      <font>
        <b/>
        <i val="0"/>
        <color theme="0"/>
      </font>
      <fill>
        <patternFill>
          <bgColor rgb="FF003087"/>
        </patternFill>
      </fill>
    </dxf>
    <dxf>
      <font>
        <b/>
        <i val="0"/>
        <color theme="0"/>
      </font>
      <fill>
        <patternFill>
          <bgColor rgb="FFC000C2"/>
        </patternFill>
      </fill>
    </dxf>
    <dxf>
      <font>
        <b val="0"/>
        <i val="0"/>
        <color theme="0"/>
      </font>
      <fill>
        <patternFill>
          <bgColor rgb="FF787D81"/>
        </patternFill>
      </fill>
    </dxf>
    <dxf>
      <font>
        <b/>
        <i val="0"/>
        <color theme="0"/>
      </font>
      <fill>
        <patternFill>
          <bgColor rgb="FF00ADEE"/>
        </patternFill>
      </fill>
    </dxf>
    <dxf>
      <font>
        <b/>
        <i val="0"/>
        <color theme="0"/>
      </font>
      <fill>
        <patternFill>
          <bgColor rgb="FFD5B142"/>
        </patternFill>
      </fill>
    </dxf>
    <dxf>
      <font>
        <b/>
        <i val="0"/>
        <color theme="0"/>
      </font>
      <fill>
        <patternFill>
          <bgColor rgb="FF02B7A7"/>
        </patternFill>
      </fill>
    </dxf>
    <dxf>
      <font>
        <b/>
        <i val="0"/>
        <color theme="0"/>
      </font>
      <fill>
        <patternFill>
          <bgColor rgb="FF84BD00"/>
        </patternFill>
      </fill>
    </dxf>
    <dxf>
      <font>
        <b/>
        <i val="0"/>
        <color theme="0"/>
      </font>
      <fill>
        <patternFill>
          <bgColor rgb="FF84BD00"/>
        </patternFill>
      </fill>
    </dxf>
    <dxf>
      <font>
        <b/>
        <i val="0"/>
        <color theme="0"/>
      </font>
      <fill>
        <patternFill>
          <bgColor rgb="FF00A9CE"/>
        </patternFill>
      </fill>
    </dxf>
    <dxf>
      <font>
        <b/>
        <i val="0"/>
        <color auto="1"/>
      </font>
      <fill>
        <patternFill>
          <bgColor rgb="FFD5E5EB"/>
        </patternFill>
      </fill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003087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3087"/>
        </patternFill>
      </fill>
    </dxf>
    <dxf>
      <font>
        <b/>
        <i val="0"/>
        <color theme="0"/>
      </font>
      <fill>
        <patternFill>
          <bgColor rgb="FF003087"/>
        </patternFill>
      </fill>
    </dxf>
    <dxf>
      <font>
        <b/>
        <i val="0"/>
        <color theme="0"/>
      </font>
      <fill>
        <patternFill>
          <bgColor rgb="FFC000C2"/>
        </patternFill>
      </fill>
    </dxf>
    <dxf>
      <font>
        <b/>
        <i val="0"/>
        <color auto="1"/>
      </font>
      <fill>
        <patternFill>
          <bgColor rgb="FFD5E5EB"/>
        </patternFill>
      </fill>
    </dxf>
    <dxf>
      <font>
        <b/>
        <i val="0"/>
        <color theme="0"/>
      </font>
      <fill>
        <patternFill>
          <bgColor rgb="FF00ADEE"/>
        </patternFill>
      </fill>
    </dxf>
    <dxf>
      <font>
        <b/>
        <i val="0"/>
        <color theme="0"/>
      </font>
      <fill>
        <patternFill>
          <bgColor rgb="FFD5B142"/>
        </patternFill>
      </fill>
    </dxf>
    <dxf>
      <font>
        <b/>
        <i val="0"/>
        <color theme="0"/>
      </font>
      <fill>
        <patternFill>
          <bgColor rgb="FF02B7A7"/>
        </patternFill>
      </fill>
    </dxf>
    <dxf>
      <font>
        <b/>
        <i val="0"/>
        <color theme="0"/>
      </font>
      <fill>
        <patternFill>
          <bgColor rgb="FF84BD00"/>
        </patternFill>
      </fill>
    </dxf>
    <dxf>
      <font>
        <b/>
        <i val="0"/>
        <color theme="0"/>
      </font>
      <fill>
        <patternFill>
          <bgColor rgb="FF84BD00"/>
        </patternFill>
      </fill>
    </dxf>
    <dxf>
      <font>
        <b/>
        <i val="0"/>
        <color theme="0"/>
      </font>
      <fill>
        <patternFill>
          <bgColor rgb="FF00A9CE"/>
        </patternFill>
      </fill>
    </dxf>
    <dxf>
      <font>
        <b/>
        <i val="0"/>
        <color theme="0"/>
      </font>
      <fill>
        <patternFill>
          <bgColor rgb="FF003087"/>
        </patternFill>
      </fill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0"/>
      </font>
      <fill>
        <patternFill>
          <bgColor rgb="FF787D8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3087"/>
        </patternFill>
      </fill>
    </dxf>
    <dxf>
      <font>
        <b/>
        <i val="0"/>
        <color theme="0"/>
      </font>
      <fill>
        <patternFill>
          <bgColor rgb="FF003087"/>
        </patternFill>
      </fill>
    </dxf>
    <dxf>
      <font>
        <b/>
        <i val="0"/>
        <color auto="1"/>
      </font>
      <fill>
        <patternFill>
          <bgColor rgb="FFD5E5EB"/>
        </patternFill>
      </fill>
    </dxf>
    <dxf>
      <font>
        <b/>
        <i val="0"/>
        <color theme="0"/>
      </font>
      <fill>
        <patternFill>
          <bgColor rgb="FF84BD00"/>
        </patternFill>
      </fill>
    </dxf>
    <dxf>
      <font>
        <b/>
        <i val="0"/>
        <color theme="0"/>
      </font>
      <fill>
        <patternFill>
          <bgColor rgb="FF00ADEE"/>
        </patternFill>
      </fill>
    </dxf>
    <dxf>
      <font>
        <b/>
        <i val="0"/>
        <color theme="0"/>
      </font>
      <fill>
        <patternFill>
          <bgColor rgb="FFD5B142"/>
        </patternFill>
      </fill>
    </dxf>
    <dxf>
      <font>
        <b/>
        <i val="0"/>
        <color theme="0"/>
      </font>
      <fill>
        <patternFill>
          <bgColor rgb="FF02B7A7"/>
        </patternFill>
      </fill>
    </dxf>
    <dxf>
      <font>
        <b/>
        <i val="0"/>
        <color theme="0"/>
      </font>
      <fill>
        <patternFill>
          <bgColor rgb="FF84BD00"/>
        </patternFill>
      </fill>
    </dxf>
    <dxf>
      <font>
        <b/>
        <i val="0"/>
        <color theme="0"/>
      </font>
      <fill>
        <patternFill>
          <bgColor rgb="FF00A9CE"/>
        </patternFill>
      </fill>
    </dxf>
    <dxf>
      <font>
        <b/>
        <i val="0"/>
        <color theme="0"/>
      </font>
      <fill>
        <patternFill>
          <bgColor rgb="FF003087"/>
        </patternFill>
      </fill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0"/>
      </font>
      <fill>
        <patternFill>
          <bgColor rgb="FF787D81"/>
        </patternFill>
      </fill>
    </dxf>
    <dxf>
      <font>
        <b/>
        <i val="0"/>
        <color theme="0"/>
      </font>
      <fill>
        <patternFill>
          <bgColor rgb="FFC000C2"/>
        </patternFill>
      </fill>
    </dxf>
    <dxf>
      <font>
        <b val="0"/>
        <i val="0"/>
        <color theme="0"/>
      </font>
      <fill>
        <patternFill>
          <bgColor rgb="FF787D81"/>
        </patternFill>
      </fill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/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003087"/>
        </patternFill>
      </fill>
    </dxf>
    <dxf>
      <font>
        <b/>
        <i val="0"/>
        <color theme="0"/>
      </font>
      <fill>
        <patternFill>
          <bgColor rgb="FF00A9CE"/>
        </patternFill>
      </fill>
    </dxf>
    <dxf>
      <font>
        <b/>
        <i val="0"/>
        <color theme="0"/>
      </font>
      <fill>
        <patternFill>
          <bgColor rgb="FF84BD00"/>
        </patternFill>
      </fill>
    </dxf>
    <dxf>
      <font>
        <b/>
        <i val="0"/>
        <color theme="0"/>
      </font>
      <fill>
        <patternFill>
          <bgColor rgb="FF02B7A7"/>
        </patternFill>
      </fill>
    </dxf>
    <dxf>
      <font>
        <b/>
        <i val="0"/>
        <color theme="0"/>
      </font>
      <fill>
        <patternFill>
          <bgColor rgb="FFD5B142"/>
        </patternFill>
      </fill>
    </dxf>
    <dxf>
      <font>
        <b/>
        <i val="0"/>
        <color theme="0"/>
      </font>
      <fill>
        <patternFill>
          <bgColor rgb="FF00ADEE"/>
        </patternFill>
      </fill>
    </dxf>
    <dxf>
      <font>
        <b/>
        <i val="0"/>
        <color auto="1"/>
      </font>
      <fill>
        <patternFill>
          <bgColor rgb="FFD5E5EB"/>
        </patternFill>
      </fill>
    </dxf>
    <dxf>
      <font>
        <b/>
        <i val="0"/>
        <color theme="0"/>
      </font>
      <fill>
        <patternFill>
          <bgColor rgb="FFC000C2"/>
        </patternFill>
      </fill>
    </dxf>
    <dxf>
      <font>
        <b/>
        <i val="0"/>
        <color theme="0"/>
      </font>
      <fill>
        <patternFill>
          <bgColor rgb="FF003087"/>
        </patternFill>
      </fill>
    </dxf>
    <dxf>
      <font>
        <b/>
        <i val="0"/>
        <color theme="0"/>
      </font>
      <fill>
        <patternFill>
          <bgColor rgb="FF003087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84BD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3087"/>
        </patternFill>
      </fill>
    </dxf>
    <dxf>
      <font>
        <b/>
        <i val="0"/>
        <color theme="0"/>
      </font>
      <fill>
        <patternFill>
          <bgColor rgb="FF003087"/>
        </patternFill>
      </fill>
    </dxf>
    <dxf>
      <font>
        <b/>
        <i val="0"/>
        <color theme="0"/>
      </font>
      <fill>
        <patternFill>
          <bgColor rgb="FFC000C2"/>
        </patternFill>
      </fill>
    </dxf>
    <dxf>
      <font>
        <b/>
        <i val="0"/>
        <color auto="1"/>
      </font>
      <fill>
        <patternFill>
          <bgColor rgb="FFD5E5EB"/>
        </patternFill>
      </fill>
    </dxf>
    <dxf>
      <font>
        <b/>
        <i val="0"/>
        <color theme="0"/>
      </font>
      <fill>
        <patternFill>
          <bgColor rgb="FF00ADEE"/>
        </patternFill>
      </fill>
    </dxf>
    <dxf>
      <font>
        <b/>
        <i val="0"/>
        <color theme="0"/>
      </font>
      <fill>
        <patternFill>
          <bgColor rgb="FFD5B142"/>
        </patternFill>
      </fill>
    </dxf>
    <dxf>
      <font>
        <b/>
        <i val="0"/>
        <color theme="0"/>
      </font>
      <fill>
        <patternFill>
          <bgColor rgb="FF02B7A7"/>
        </patternFill>
      </fill>
    </dxf>
    <dxf>
      <font>
        <b/>
        <i val="0"/>
        <color theme="0"/>
      </font>
      <fill>
        <patternFill>
          <bgColor rgb="FF84BD00"/>
        </patternFill>
      </fill>
    </dxf>
    <dxf>
      <font>
        <b/>
        <i val="0"/>
        <color theme="0"/>
      </font>
      <fill>
        <patternFill>
          <bgColor rgb="FF84BD00"/>
        </patternFill>
      </fill>
    </dxf>
    <dxf>
      <font>
        <b/>
        <i val="0"/>
        <color theme="0"/>
      </font>
      <fill>
        <patternFill>
          <bgColor rgb="FF00A9CE"/>
        </patternFill>
      </fill>
    </dxf>
    <dxf>
      <font>
        <b/>
        <i val="0"/>
        <color theme="0"/>
      </font>
      <fill>
        <patternFill>
          <bgColor rgb="FF003087"/>
        </patternFill>
      </fill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0"/>
      </font>
      <fill>
        <patternFill>
          <bgColor rgb="FF787D81"/>
        </patternFill>
      </fill>
    </dxf>
    <dxf>
      <font>
        <b val="0"/>
        <i val="0"/>
        <color theme="0"/>
      </font>
      <fill>
        <patternFill>
          <bgColor rgb="FF787D81"/>
        </patternFill>
      </fill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/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003087"/>
        </patternFill>
      </fill>
    </dxf>
    <dxf>
      <font>
        <b/>
        <i val="0"/>
        <color theme="0"/>
      </font>
      <fill>
        <patternFill>
          <bgColor rgb="FF00A9CE"/>
        </patternFill>
      </fill>
    </dxf>
    <dxf>
      <font>
        <b/>
        <i val="0"/>
        <color theme="0"/>
      </font>
      <fill>
        <patternFill>
          <bgColor rgb="FF84BD00"/>
        </patternFill>
      </fill>
    </dxf>
    <dxf>
      <font>
        <b/>
        <i val="0"/>
        <color theme="0"/>
      </font>
      <fill>
        <patternFill>
          <bgColor rgb="FF84BD00"/>
        </patternFill>
      </fill>
    </dxf>
    <dxf>
      <font>
        <b/>
        <i val="0"/>
        <color theme="0"/>
      </font>
      <fill>
        <patternFill>
          <bgColor rgb="FF02B7A7"/>
        </patternFill>
      </fill>
    </dxf>
    <dxf>
      <font>
        <b/>
        <i val="0"/>
        <color theme="0"/>
      </font>
      <fill>
        <patternFill>
          <bgColor rgb="FFD5B142"/>
        </patternFill>
      </fill>
    </dxf>
    <dxf>
      <font>
        <b/>
        <i val="0"/>
        <color theme="0"/>
      </font>
      <fill>
        <patternFill>
          <bgColor rgb="FF00ADEE"/>
        </patternFill>
      </fill>
    </dxf>
    <dxf>
      <font>
        <b/>
        <i val="0"/>
        <color auto="1"/>
      </font>
      <fill>
        <patternFill>
          <bgColor rgb="FFD5E5EB"/>
        </patternFill>
      </fill>
    </dxf>
    <dxf>
      <font>
        <b/>
        <i val="0"/>
        <color theme="0"/>
      </font>
      <fill>
        <patternFill>
          <bgColor rgb="FFC000C2"/>
        </patternFill>
      </fill>
    </dxf>
    <dxf>
      <font>
        <b/>
        <i val="0"/>
        <color theme="0"/>
      </font>
      <fill>
        <patternFill>
          <bgColor rgb="FF003087"/>
        </patternFill>
      </fill>
    </dxf>
    <dxf>
      <font>
        <b/>
        <i val="0"/>
        <color theme="0"/>
      </font>
      <fill>
        <patternFill>
          <bgColor rgb="FF003087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3087"/>
        </patternFill>
      </fill>
    </dxf>
    <dxf>
      <font>
        <b/>
        <i val="0"/>
        <color theme="0"/>
      </font>
      <fill>
        <patternFill>
          <bgColor rgb="FF003087"/>
        </patternFill>
      </fill>
    </dxf>
    <dxf>
      <font>
        <b/>
        <i val="0"/>
        <color theme="0"/>
      </font>
      <fill>
        <patternFill>
          <bgColor rgb="FFC000C2"/>
        </patternFill>
      </fill>
    </dxf>
    <dxf>
      <font>
        <b/>
        <i val="0"/>
        <color auto="1"/>
      </font>
      <fill>
        <patternFill>
          <bgColor rgb="FFD5E5EB"/>
        </patternFill>
      </fill>
    </dxf>
    <dxf>
      <font>
        <b/>
        <i val="0"/>
        <color theme="0"/>
      </font>
      <fill>
        <patternFill>
          <bgColor rgb="FF00ADEE"/>
        </patternFill>
      </fill>
    </dxf>
    <dxf>
      <font>
        <b/>
        <i val="0"/>
        <color theme="0"/>
      </font>
      <fill>
        <patternFill>
          <bgColor rgb="FFD5B142"/>
        </patternFill>
      </fill>
    </dxf>
    <dxf>
      <font>
        <b/>
        <i val="0"/>
        <color theme="0"/>
      </font>
      <fill>
        <patternFill>
          <bgColor rgb="FF02B7A7"/>
        </patternFill>
      </fill>
    </dxf>
    <dxf>
      <font>
        <b val="0"/>
        <i val="0"/>
        <color theme="0"/>
      </font>
      <fill>
        <patternFill>
          <bgColor rgb="FF787D81"/>
        </patternFill>
      </fill>
    </dxf>
    <dxf>
      <font>
        <b/>
        <i val="0"/>
        <color theme="0"/>
      </font>
      <fill>
        <patternFill>
          <bgColor rgb="FF84BD00"/>
        </patternFill>
      </fill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/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00A9CE"/>
        </patternFill>
      </fill>
    </dxf>
    <dxf>
      <font>
        <b/>
        <i val="0"/>
        <color theme="0"/>
      </font>
      <fill>
        <patternFill>
          <bgColor rgb="FF84BD00"/>
        </patternFill>
      </fill>
    </dxf>
    <dxf>
      <font>
        <b/>
        <i val="0"/>
        <color theme="0"/>
      </font>
      <fill>
        <patternFill>
          <bgColor rgb="FF003087"/>
        </patternFill>
      </fill>
    </dxf>
    <dxf>
      <font>
        <b/>
        <i val="0"/>
        <color theme="0"/>
      </font>
      <fill>
        <patternFill>
          <bgColor rgb="FF84BD00"/>
        </patternFill>
      </fill>
    </dxf>
    <dxf>
      <font>
        <b/>
        <i val="0"/>
        <color theme="0"/>
      </font>
      <fill>
        <patternFill>
          <bgColor rgb="FF00A9CE"/>
        </patternFill>
      </fill>
    </dxf>
    <dxf>
      <font>
        <b/>
        <i val="0"/>
        <color theme="0"/>
      </font>
      <fill>
        <patternFill>
          <bgColor rgb="FF003087"/>
        </patternFill>
      </fill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0"/>
      </font>
      <fill>
        <patternFill>
          <bgColor rgb="FF787D81"/>
        </patternFill>
      </fill>
    </dxf>
    <dxf>
      <font>
        <b/>
        <i val="0"/>
        <color theme="0"/>
      </font>
      <fill>
        <patternFill>
          <bgColor rgb="FFD5B1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3087"/>
        </patternFill>
      </fill>
    </dxf>
    <dxf>
      <font>
        <b/>
        <i val="0"/>
        <color theme="0"/>
      </font>
      <fill>
        <patternFill>
          <bgColor rgb="FF003087"/>
        </patternFill>
      </fill>
    </dxf>
    <dxf>
      <font>
        <b/>
        <i val="0"/>
        <color theme="0"/>
      </font>
      <fill>
        <patternFill>
          <bgColor rgb="FFC000C2"/>
        </patternFill>
      </fill>
    </dxf>
    <dxf>
      <font>
        <b/>
        <i val="0"/>
        <color auto="1"/>
      </font>
      <fill>
        <patternFill>
          <bgColor rgb="FFD5E5EB"/>
        </patternFill>
      </fill>
    </dxf>
    <dxf>
      <font>
        <b/>
        <i val="0"/>
        <color theme="0"/>
      </font>
      <fill>
        <patternFill>
          <bgColor rgb="FF00ADEE"/>
        </patternFill>
      </fill>
    </dxf>
    <dxf>
      <font>
        <b/>
        <i val="0"/>
        <color theme="0"/>
      </font>
      <fill>
        <patternFill>
          <bgColor rgb="FF02B7A7"/>
        </patternFill>
      </fill>
    </dxf>
    <dxf>
      <font>
        <b/>
        <i val="0"/>
        <color theme="0"/>
      </font>
      <fill>
        <patternFill>
          <bgColor rgb="FF84BD00"/>
        </patternFill>
      </fill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/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003087"/>
        </patternFill>
      </fill>
    </dxf>
    <dxf>
      <font>
        <b/>
        <i val="0"/>
        <color theme="0"/>
      </font>
      <fill>
        <patternFill>
          <bgColor rgb="FF00A9CE"/>
        </patternFill>
      </fill>
    </dxf>
    <dxf>
      <font>
        <b/>
        <i val="0"/>
        <color theme="0"/>
      </font>
      <fill>
        <patternFill>
          <bgColor rgb="FF84BD00"/>
        </patternFill>
      </fill>
    </dxf>
    <dxf>
      <font>
        <b/>
        <i val="0"/>
        <color theme="0"/>
      </font>
      <fill>
        <patternFill>
          <bgColor rgb="FF84BD00"/>
        </patternFill>
      </fill>
    </dxf>
    <dxf>
      <font>
        <b/>
        <i val="0"/>
        <color theme="0"/>
      </font>
      <fill>
        <patternFill>
          <bgColor rgb="FFD5B1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3087"/>
        </patternFill>
      </fill>
    </dxf>
    <dxf>
      <font>
        <b/>
        <i val="0"/>
        <color theme="0"/>
      </font>
      <fill>
        <patternFill>
          <bgColor rgb="FF003087"/>
        </patternFill>
      </fill>
    </dxf>
    <dxf>
      <font>
        <b/>
        <i val="0"/>
        <color theme="0"/>
      </font>
      <fill>
        <patternFill>
          <bgColor rgb="FFC000C2"/>
        </patternFill>
      </fill>
    </dxf>
    <dxf>
      <font>
        <b/>
        <i val="0"/>
        <color auto="1"/>
      </font>
      <fill>
        <patternFill>
          <bgColor rgb="FFD5E5EB"/>
        </patternFill>
      </fill>
    </dxf>
    <dxf>
      <font>
        <b val="0"/>
        <i val="0"/>
        <color theme="0"/>
      </font>
      <fill>
        <patternFill>
          <bgColor rgb="FF787D81"/>
        </patternFill>
      </fill>
    </dxf>
    <dxf>
      <font>
        <b/>
        <i val="0"/>
        <color theme="0"/>
      </font>
      <fill>
        <patternFill>
          <bgColor rgb="FF00ADEE"/>
        </patternFill>
      </fill>
    </dxf>
    <dxf>
      <font>
        <b/>
        <i val="0"/>
        <color theme="0"/>
      </font>
      <fill>
        <patternFill>
          <bgColor rgb="FF02B7A7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84BD00"/>
        </patternFill>
      </fill>
    </dxf>
    <dxf>
      <font>
        <b/>
        <i val="0"/>
        <color theme="0"/>
      </font>
      <fill>
        <patternFill>
          <bgColor rgb="FF84BD00"/>
        </patternFill>
      </fill>
    </dxf>
    <dxf>
      <font>
        <b/>
        <i val="0"/>
        <color theme="0"/>
      </font>
      <fill>
        <patternFill>
          <bgColor rgb="FF02B7A7"/>
        </patternFill>
      </fill>
    </dxf>
    <dxf>
      <font>
        <b/>
        <i val="0"/>
        <color theme="0"/>
      </font>
      <fill>
        <patternFill>
          <bgColor rgb="FFD5B142"/>
        </patternFill>
      </fill>
    </dxf>
    <dxf>
      <font>
        <b/>
        <i val="0"/>
        <color theme="0"/>
      </font>
      <fill>
        <patternFill>
          <bgColor rgb="FF00ADEE"/>
        </patternFill>
      </fill>
    </dxf>
    <dxf>
      <font>
        <b/>
        <i val="0"/>
        <color theme="0"/>
      </font>
      <fill>
        <patternFill>
          <bgColor rgb="FFC000C2"/>
        </patternFill>
      </fill>
    </dxf>
    <dxf>
      <font>
        <b/>
        <i val="0"/>
        <color theme="0"/>
      </font>
      <fill>
        <patternFill>
          <bgColor rgb="FF003087"/>
        </patternFill>
      </fill>
    </dxf>
    <dxf>
      <font>
        <b/>
        <i val="0"/>
        <color theme="0"/>
      </font>
      <fill>
        <patternFill>
          <bgColor rgb="FF003087"/>
        </patternFill>
      </fill>
    </dxf>
    <dxf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rgb="FF787D81"/>
        </patternFill>
      </fill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/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003087"/>
        </patternFill>
      </fill>
    </dxf>
    <dxf>
      <font>
        <b/>
        <i val="0"/>
        <color theme="0"/>
      </font>
      <fill>
        <patternFill>
          <bgColor rgb="FF00A9CE"/>
        </patternFill>
      </fill>
    </dxf>
    <dxf>
      <font>
        <b/>
        <i val="0"/>
        <color auto="1"/>
      </font>
      <fill>
        <patternFill>
          <bgColor rgb="FFD5E5EB"/>
        </patternFill>
      </fill>
    </dxf>
  </dxfs>
  <tableStyles count="0" defaultTableStyle="TableStyleMedium2" defaultPivotStyle="PivotStyleLight16"/>
  <colors>
    <mruColors>
      <color rgb="FF787D81"/>
      <color rgb="FF003087"/>
      <color rgb="FFC000C2"/>
      <color rgb="FFD5E5EB"/>
      <color rgb="FFCC3300"/>
      <color rgb="FF00ADEE"/>
      <color rgb="FFD5B142"/>
      <color rgb="FF02B7A7"/>
      <color rgb="FF84BD00"/>
      <color rgb="FF00A9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checked="Checked" fmlaLink="Settings!$C$16" lockText="1" noThreeD="1"/>
</file>

<file path=xl/ctrlProps/ctrlProp11.xml><?xml version="1.0" encoding="utf-8"?>
<formControlPr xmlns="http://schemas.microsoft.com/office/spreadsheetml/2009/9/main" objectType="CheckBox" checked="Checked" fmlaLink="Settings!$C$17" lockText="1" noThreeD="1"/>
</file>

<file path=xl/ctrlProps/ctrlProp12.xml><?xml version="1.0" encoding="utf-8"?>
<formControlPr xmlns="http://schemas.microsoft.com/office/spreadsheetml/2009/9/main" objectType="CheckBox" checked="Checked" fmlaLink="Settings!$C$18" lockText="1" noThreeD="1"/>
</file>

<file path=xl/ctrlProps/ctrlProp13.xml><?xml version="1.0" encoding="utf-8"?>
<formControlPr xmlns="http://schemas.microsoft.com/office/spreadsheetml/2009/9/main" objectType="CheckBox" checked="Checked" fmlaLink="Settings!$C$19" lockText="1" noThreeD="1"/>
</file>

<file path=xl/ctrlProps/ctrlProp14.xml><?xml version="1.0" encoding="utf-8"?>
<formControlPr xmlns="http://schemas.microsoft.com/office/spreadsheetml/2009/9/main" objectType="CheckBox" checked="Checked" fmlaLink="Settings!$C$20" lockText="1" noThreeD="1"/>
</file>

<file path=xl/ctrlProps/ctrlProp15.xml><?xml version="1.0" encoding="utf-8"?>
<formControlPr xmlns="http://schemas.microsoft.com/office/spreadsheetml/2009/9/main" objectType="CheckBox" checked="Checked" fmlaLink="Settings!$C$21" lockText="1" noThreeD="1"/>
</file>

<file path=xl/ctrlProps/ctrlProp16.xml><?xml version="1.0" encoding="utf-8"?>
<formControlPr xmlns="http://schemas.microsoft.com/office/spreadsheetml/2009/9/main" objectType="CheckBox" checked="Checked" fmlaLink="Settings!$C$22" lockText="1" noThreeD="1"/>
</file>

<file path=xl/ctrlProps/ctrlProp17.xml><?xml version="1.0" encoding="utf-8"?>
<formControlPr xmlns="http://schemas.microsoft.com/office/spreadsheetml/2009/9/main" objectType="CheckBox" checked="Checked" fmlaLink="Settings!$C$23" lockText="1" noThreeD="1"/>
</file>

<file path=xl/ctrlProps/ctrlProp18.xml><?xml version="1.0" encoding="utf-8"?>
<formControlPr xmlns="http://schemas.microsoft.com/office/spreadsheetml/2009/9/main" objectType="CheckBox" checked="Checked" fmlaLink="Settings!$C$24" lockText="1" noThreeD="1"/>
</file>

<file path=xl/ctrlProps/ctrlProp19.xml><?xml version="1.0" encoding="utf-8"?>
<formControlPr xmlns="http://schemas.microsoft.com/office/spreadsheetml/2009/9/main" objectType="CheckBox" checked="Checked" fmlaLink="Settings!$C$25" lockText="1" noThreeD="1"/>
</file>

<file path=xl/ctrlProps/ctrlProp2.xml><?xml version="1.0" encoding="utf-8"?>
<formControlPr xmlns="http://schemas.microsoft.com/office/spreadsheetml/2009/9/main" objectType="Drop" dropStyle="combo" dx="20" fmlaLink="Settings!$C$2" fmlaRange="Settings!$L$2:$L$32" noThreeD="1" sel="5" val="3"/>
</file>

<file path=xl/ctrlProps/ctrlProp20.xml><?xml version="1.0" encoding="utf-8"?>
<formControlPr xmlns="http://schemas.microsoft.com/office/spreadsheetml/2009/9/main" objectType="CheckBox" checked="Checked" fmlaLink="Settings!$C$26" lockText="1" noThreeD="1"/>
</file>

<file path=xl/ctrlProps/ctrlProp21.xml><?xml version="1.0" encoding="utf-8"?>
<formControlPr xmlns="http://schemas.microsoft.com/office/spreadsheetml/2009/9/main" objectType="CheckBox" checked="Checked" fmlaLink="Settings!$C$10" lockText="1" noThreeD="1"/>
</file>

<file path=xl/ctrlProps/ctrlProp22.xml><?xml version="1.0" encoding="utf-8"?>
<formControlPr xmlns="http://schemas.microsoft.com/office/spreadsheetml/2009/9/main" objectType="CheckBox" checked="Checked" fmlaLink="Settings!$C$11" lockText="1" noThreeD="1"/>
</file>

<file path=xl/ctrlProps/ctrlProp23.xml><?xml version="1.0" encoding="utf-8"?>
<formControlPr xmlns="http://schemas.microsoft.com/office/spreadsheetml/2009/9/main" objectType="CheckBox" checked="Checked" fmlaLink="Settings!$C$12" lockText="1" noThreeD="1"/>
</file>

<file path=xl/ctrlProps/ctrlProp3.xml><?xml version="1.0" encoding="utf-8"?>
<formControlPr xmlns="http://schemas.microsoft.com/office/spreadsheetml/2009/9/main" objectType="Drop" dropStyle="combo" dx="20" fmlaLink="Settings!$C$3" fmlaRange="Settings!$M$2:$M$13" noThreeD="1" sel="7" val="3"/>
</file>

<file path=xl/ctrlProps/ctrlProp4.xml><?xml version="1.0" encoding="utf-8"?>
<formControlPr xmlns="http://schemas.microsoft.com/office/spreadsheetml/2009/9/main" objectType="Drop" dropLines="7" dropStyle="combo" dx="20" fmlaLink="Settings!$C$4" fmlaRange="Settings!$N$2:$N$8" noThreeD="1" sel="1" val="0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fmlaLink="Settings!$C$7" lockText="1" noThreeD="1"/>
</file>

<file path=xl/ctrlProps/ctrlProp8.xml><?xml version="1.0" encoding="utf-8"?>
<formControlPr xmlns="http://schemas.microsoft.com/office/spreadsheetml/2009/9/main" objectType="CheckBox" checked="Checked" fmlaLink="Settings!$C$8" lockText="1" noThreeD="1"/>
</file>

<file path=xl/ctrlProps/ctrlProp9.xml><?xml version="1.0" encoding="utf-8"?>
<formControlPr xmlns="http://schemas.microsoft.com/office/spreadsheetml/2009/9/main" objectType="CheckBox" checked="Checked" fmlaLink="Settings!$C$15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556259</xdr:colOff>
      <xdr:row>2</xdr:row>
      <xdr:rowOff>144779</xdr:rowOff>
    </xdr:from>
    <xdr:to>
      <xdr:col>32</xdr:col>
      <xdr:colOff>161924</xdr:colOff>
      <xdr:row>25</xdr:row>
      <xdr:rowOff>82826</xdr:rowOff>
    </xdr:to>
    <xdr:sp macro="" textlink="">
      <xdr:nvSpPr>
        <xdr:cNvPr id="2" name="Rectangle à coins arrondi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91237" y="442953"/>
          <a:ext cx="4624926" cy="4062786"/>
        </a:xfrm>
        <a:prstGeom prst="roundRect">
          <a:avLst>
            <a:gd name="adj" fmla="val 3572"/>
          </a:avLst>
        </a:prstGeom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26</xdr:col>
      <xdr:colOff>556260</xdr:colOff>
      <xdr:row>2</xdr:row>
      <xdr:rowOff>144780</xdr:rowOff>
    </xdr:from>
    <xdr:to>
      <xdr:col>32</xdr:col>
      <xdr:colOff>171450</xdr:colOff>
      <xdr:row>5</xdr:row>
      <xdr:rowOff>38100</xdr:rowOff>
    </xdr:to>
    <xdr:sp macro="" textlink="">
      <xdr:nvSpPr>
        <xdr:cNvPr id="3" name="Rectangle avec coins arrondis du même côté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128510" y="449580"/>
          <a:ext cx="4644390" cy="379095"/>
        </a:xfrm>
        <a:prstGeom prst="round2Same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oneCellAnchor>
    <xdr:from>
      <xdr:col>27</xdr:col>
      <xdr:colOff>771578</xdr:colOff>
      <xdr:row>2</xdr:row>
      <xdr:rowOff>102685</xdr:rowOff>
    </xdr:from>
    <xdr:ext cx="2365904" cy="407855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178218" y="422725"/>
          <a:ext cx="2365904" cy="40785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fr-FR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Calendar Settings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704850</xdr:colOff>
          <xdr:row>5</xdr:row>
          <xdr:rowOff>180975</xdr:rowOff>
        </xdr:from>
        <xdr:to>
          <xdr:col>28</xdr:col>
          <xdr:colOff>409575</xdr:colOff>
          <xdr:row>18</xdr:row>
          <xdr:rowOff>66675</xdr:rowOff>
        </xdr:to>
        <xdr:sp macro="" textlink="">
          <xdr:nvSpPr>
            <xdr:cNvPr id="1025" name="Group Box 1" descr="Layout Settings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Layout Settings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7</xdr:row>
          <xdr:rowOff>161925</xdr:rowOff>
        </xdr:from>
        <xdr:to>
          <xdr:col>28</xdr:col>
          <xdr:colOff>276225</xdr:colOff>
          <xdr:row>9</xdr:row>
          <xdr:rowOff>57150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10</xdr:row>
          <xdr:rowOff>76200</xdr:rowOff>
        </xdr:from>
        <xdr:to>
          <xdr:col>28</xdr:col>
          <xdr:colOff>276225</xdr:colOff>
          <xdr:row>11</xdr:row>
          <xdr:rowOff>142875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13</xdr:row>
          <xdr:rowOff>19050</xdr:rowOff>
        </xdr:from>
        <xdr:to>
          <xdr:col>28</xdr:col>
          <xdr:colOff>276225</xdr:colOff>
          <xdr:row>14</xdr:row>
          <xdr:rowOff>95250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26</xdr:col>
      <xdr:colOff>768599</xdr:colOff>
      <xdr:row>6</xdr:row>
      <xdr:rowOff>128197</xdr:rowOff>
    </xdr:from>
    <xdr:ext cx="881962" cy="270695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303577" y="1088980"/>
          <a:ext cx="881962" cy="270695"/>
        </a:xfrm>
        <a:prstGeom prst="rect">
          <a:avLst/>
        </a:prstGeom>
        <a:noFill/>
      </xdr:spPr>
      <xdr:txBody>
        <a:bodyPr wrap="none" lIns="91440" tIns="45720" rIns="91440" bIns="45720" anchor="b">
          <a:noAutofit/>
        </a:bodyPr>
        <a:lstStyle/>
        <a:p>
          <a:pPr algn="l"/>
          <a:r>
            <a:rPr lang="fr-FR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Select Year</a:t>
          </a:r>
        </a:p>
      </xdr:txBody>
    </xdr:sp>
    <xdr:clientData/>
  </xdr:oneCellAnchor>
  <xdr:oneCellAnchor>
    <xdr:from>
      <xdr:col>26</xdr:col>
      <xdr:colOff>768599</xdr:colOff>
      <xdr:row>9</xdr:row>
      <xdr:rowOff>41725</xdr:rowOff>
    </xdr:from>
    <xdr:ext cx="881962" cy="270695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303577" y="1549160"/>
          <a:ext cx="881962" cy="270695"/>
        </a:xfrm>
        <a:prstGeom prst="rect">
          <a:avLst/>
        </a:prstGeom>
        <a:noFill/>
      </xdr:spPr>
      <xdr:txBody>
        <a:bodyPr wrap="none" lIns="91440" tIns="45720" rIns="91440" bIns="45720" anchor="b">
          <a:noAutofit/>
        </a:bodyPr>
        <a:lstStyle/>
        <a:p>
          <a:pPr algn="l"/>
          <a:r>
            <a:rPr lang="fr-FR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Starting Month</a:t>
          </a:r>
        </a:p>
      </xdr:txBody>
    </xdr:sp>
    <xdr:clientData/>
  </xdr:oneCellAnchor>
  <xdr:oneCellAnchor>
    <xdr:from>
      <xdr:col>26</xdr:col>
      <xdr:colOff>768599</xdr:colOff>
      <xdr:row>11</xdr:row>
      <xdr:rowOff>159340</xdr:rowOff>
    </xdr:from>
    <xdr:ext cx="881962" cy="270695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303577" y="2031210"/>
          <a:ext cx="881962" cy="270695"/>
        </a:xfrm>
        <a:prstGeom prst="rect">
          <a:avLst/>
        </a:prstGeom>
        <a:noFill/>
      </xdr:spPr>
      <xdr:txBody>
        <a:bodyPr wrap="none" lIns="91440" tIns="45720" rIns="91440" bIns="45720" anchor="b">
          <a:noAutofit/>
        </a:bodyPr>
        <a:lstStyle/>
        <a:p>
          <a:pPr algn="l"/>
          <a:r>
            <a:rPr lang="fr-FR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Starting</a:t>
          </a:r>
          <a:r>
            <a:rPr lang="fr-FR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Day of Week</a:t>
          </a:r>
          <a:endParaRPr lang="fr-FR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504825</xdr:colOff>
          <xdr:row>5</xdr:row>
          <xdr:rowOff>180975</xdr:rowOff>
        </xdr:from>
        <xdr:to>
          <xdr:col>32</xdr:col>
          <xdr:colOff>57150</xdr:colOff>
          <xdr:row>24</xdr:row>
          <xdr:rowOff>161925</xdr:rowOff>
        </xdr:to>
        <xdr:sp macro="" textlink="">
          <xdr:nvSpPr>
            <xdr:cNvPr id="1029" name="Group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Highlight Event Type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704850</xdr:colOff>
          <xdr:row>18</xdr:row>
          <xdr:rowOff>142875</xdr:rowOff>
        </xdr:from>
        <xdr:to>
          <xdr:col>28</xdr:col>
          <xdr:colOff>409575</xdr:colOff>
          <xdr:row>24</xdr:row>
          <xdr:rowOff>161925</xdr:rowOff>
        </xdr:to>
        <xdr:sp macro="" textlink="">
          <xdr:nvSpPr>
            <xdr:cNvPr id="1030" name="Group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Highlight Event Level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14</xdr:row>
          <xdr:rowOff>152400</xdr:rowOff>
        </xdr:from>
        <xdr:to>
          <xdr:col>28</xdr:col>
          <xdr:colOff>228600</xdr:colOff>
          <xdr:row>16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Highlight Sat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16</xdr:row>
          <xdr:rowOff>47625</xdr:rowOff>
        </xdr:from>
        <xdr:to>
          <xdr:col>28</xdr:col>
          <xdr:colOff>228600</xdr:colOff>
          <xdr:row>17</xdr:row>
          <xdr:rowOff>85725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Highlight Sun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561975</xdr:colOff>
          <xdr:row>6</xdr:row>
          <xdr:rowOff>161925</xdr:rowOff>
        </xdr:from>
        <xdr:to>
          <xdr:col>31</xdr:col>
          <xdr:colOff>838200</xdr:colOff>
          <xdr:row>8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087"/>
                  </a:solidFill>
                </a14:hiddenFill>
              </a:ex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Monthly Program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561975</xdr:colOff>
          <xdr:row>8</xdr:row>
          <xdr:rowOff>66675</xdr:rowOff>
        </xdr:from>
        <xdr:to>
          <xdr:col>31</xdr:col>
          <xdr:colOff>838200</xdr:colOff>
          <xdr:row>9</xdr:row>
          <xdr:rowOff>104775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BOG Meeting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561975</xdr:colOff>
          <xdr:row>9</xdr:row>
          <xdr:rowOff>152400</xdr:rowOff>
        </xdr:from>
        <xdr:to>
          <xdr:col>31</xdr:col>
          <xdr:colOff>838200</xdr:colOff>
          <xdr:row>11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Student Activities (SA)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561975</xdr:colOff>
          <xdr:row>11</xdr:row>
          <xdr:rowOff>57150</xdr:rowOff>
        </xdr:from>
        <xdr:to>
          <xdr:col>31</xdr:col>
          <xdr:colOff>838200</xdr:colOff>
          <xdr:row>12</xdr:row>
          <xdr:rowOff>95250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Young Engineers in ASHRAE (YEA)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561975</xdr:colOff>
          <xdr:row>12</xdr:row>
          <xdr:rowOff>142875</xdr:rowOff>
        </xdr:from>
        <xdr:to>
          <xdr:col>31</xdr:col>
          <xdr:colOff>838200</xdr:colOff>
          <xdr:row>14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Membership Promotion (MP)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561975</xdr:colOff>
          <xdr:row>14</xdr:row>
          <xdr:rowOff>47625</xdr:rowOff>
        </xdr:from>
        <xdr:to>
          <xdr:col>31</xdr:col>
          <xdr:colOff>838200</xdr:colOff>
          <xdr:row>15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Research Promotion (RP)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561975</xdr:colOff>
          <xdr:row>15</xdr:row>
          <xdr:rowOff>133350</xdr:rowOff>
        </xdr:from>
        <xdr:to>
          <xdr:col>31</xdr:col>
          <xdr:colOff>838200</xdr:colOff>
          <xdr:row>16</xdr:row>
          <xdr:rowOff>171450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Government Affairs (GA)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561975</xdr:colOff>
          <xdr:row>17</xdr:row>
          <xdr:rowOff>38100</xdr:rowOff>
        </xdr:from>
        <xdr:to>
          <xdr:col>31</xdr:col>
          <xdr:colOff>838200</xdr:colOff>
          <xdr:row>18</xdr:row>
          <xdr:rowOff>76200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Historical / Honors &amp; Awards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561975</xdr:colOff>
          <xdr:row>18</xdr:row>
          <xdr:rowOff>123825</xdr:rowOff>
        </xdr:from>
        <xdr:to>
          <xdr:col>31</xdr:col>
          <xdr:colOff>838200</xdr:colOff>
          <xdr:row>19</xdr:row>
          <xdr:rowOff>161925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Diversity Equity Inclusion (DEI)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561975</xdr:colOff>
          <xdr:row>20</xdr:row>
          <xdr:rowOff>28575</xdr:rowOff>
        </xdr:from>
        <xdr:to>
          <xdr:col>31</xdr:col>
          <xdr:colOff>838200</xdr:colOff>
          <xdr:row>21</xdr:row>
          <xdr:rowOff>66675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Chapter Technology Transfer (CTTC)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561975</xdr:colOff>
          <xdr:row>21</xdr:row>
          <xdr:rowOff>114300</xdr:rowOff>
        </xdr:from>
        <xdr:to>
          <xdr:col>31</xdr:col>
          <xdr:colOff>838200</xdr:colOff>
          <xdr:row>22</xdr:row>
          <xdr:rowOff>152400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Special Event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561975</xdr:colOff>
          <xdr:row>23</xdr:row>
          <xdr:rowOff>19050</xdr:rowOff>
        </xdr:from>
        <xdr:to>
          <xdr:col>31</xdr:col>
          <xdr:colOff>838200</xdr:colOff>
          <xdr:row>24</xdr:row>
          <xdr:rowOff>57150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787D81"/>
                  </a:solidFill>
                </a14:hiddenFill>
              </a:ex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Holiday</a:t>
              </a:r>
            </a:p>
          </xdr:txBody>
        </xdr:sp>
        <xdr:clientData/>
      </xdr:twoCellAnchor>
    </mc:Choice>
    <mc:Fallback/>
  </mc:AlternateContent>
  <xdr:twoCellAnchor>
    <xdr:from>
      <xdr:col>28</xdr:col>
      <xdr:colOff>593982</xdr:colOff>
      <xdr:row>8</xdr:row>
      <xdr:rowOff>75965</xdr:rowOff>
    </xdr:from>
    <xdr:to>
      <xdr:col>29</xdr:col>
      <xdr:colOff>519438</xdr:colOff>
      <xdr:row>9</xdr:row>
      <xdr:rowOff>98890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812696" y="1409465"/>
          <a:ext cx="762296" cy="203220"/>
        </a:xfrm>
        <a:prstGeom prst="rect">
          <a:avLst/>
        </a:prstGeom>
        <a:solidFill>
          <a:srgbClr val="00A9C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28</xdr:col>
      <xdr:colOff>593982</xdr:colOff>
      <xdr:row>6</xdr:row>
      <xdr:rowOff>170534</xdr:rowOff>
    </xdr:from>
    <xdr:to>
      <xdr:col>29</xdr:col>
      <xdr:colOff>519438</xdr:colOff>
      <xdr:row>8</xdr:row>
      <xdr:rowOff>13165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812696" y="1143445"/>
          <a:ext cx="762296" cy="203220"/>
        </a:xfrm>
        <a:prstGeom prst="rect">
          <a:avLst/>
        </a:prstGeom>
        <a:solidFill>
          <a:srgbClr val="003087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28</xdr:col>
      <xdr:colOff>593982</xdr:colOff>
      <xdr:row>9</xdr:row>
      <xdr:rowOff>161690</xdr:rowOff>
    </xdr:from>
    <xdr:to>
      <xdr:col>29</xdr:col>
      <xdr:colOff>519438</xdr:colOff>
      <xdr:row>11</xdr:row>
      <xdr:rowOff>4321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8812696" y="1675485"/>
          <a:ext cx="762296" cy="203220"/>
        </a:xfrm>
        <a:prstGeom prst="rect">
          <a:avLst/>
        </a:prstGeom>
        <a:solidFill>
          <a:srgbClr val="84BD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28</xdr:col>
      <xdr:colOff>593982</xdr:colOff>
      <xdr:row>11</xdr:row>
      <xdr:rowOff>67121</xdr:rowOff>
    </xdr:from>
    <xdr:to>
      <xdr:col>29</xdr:col>
      <xdr:colOff>519438</xdr:colOff>
      <xdr:row>12</xdr:row>
      <xdr:rowOff>90046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8812696" y="1941505"/>
          <a:ext cx="762296" cy="203220"/>
        </a:xfrm>
        <a:prstGeom prst="rect">
          <a:avLst/>
        </a:prstGeom>
        <a:solidFill>
          <a:srgbClr val="84BD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28</xdr:col>
      <xdr:colOff>593982</xdr:colOff>
      <xdr:row>12</xdr:row>
      <xdr:rowOff>152846</xdr:rowOff>
    </xdr:from>
    <xdr:to>
      <xdr:col>29</xdr:col>
      <xdr:colOff>519438</xdr:colOff>
      <xdr:row>13</xdr:row>
      <xdr:rowOff>175772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8812696" y="2207525"/>
          <a:ext cx="762296" cy="203220"/>
        </a:xfrm>
        <a:prstGeom prst="rect">
          <a:avLst/>
        </a:prstGeom>
        <a:solidFill>
          <a:srgbClr val="02B7A7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28</xdr:col>
      <xdr:colOff>593982</xdr:colOff>
      <xdr:row>14</xdr:row>
      <xdr:rowOff>58277</xdr:rowOff>
    </xdr:from>
    <xdr:to>
      <xdr:col>29</xdr:col>
      <xdr:colOff>519438</xdr:colOff>
      <xdr:row>15</xdr:row>
      <xdr:rowOff>81202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8812696" y="2473545"/>
          <a:ext cx="762296" cy="203220"/>
        </a:xfrm>
        <a:prstGeom prst="rect">
          <a:avLst/>
        </a:prstGeom>
        <a:solidFill>
          <a:srgbClr val="D5B14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28</xdr:col>
      <xdr:colOff>593982</xdr:colOff>
      <xdr:row>15</xdr:row>
      <xdr:rowOff>144002</xdr:rowOff>
    </xdr:from>
    <xdr:to>
      <xdr:col>29</xdr:col>
      <xdr:colOff>519438</xdr:colOff>
      <xdr:row>16</xdr:row>
      <xdr:rowOff>166928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8812696" y="2739565"/>
          <a:ext cx="762296" cy="203220"/>
        </a:xfrm>
        <a:prstGeom prst="rect">
          <a:avLst/>
        </a:prstGeom>
        <a:solidFill>
          <a:srgbClr val="00ADE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28</xdr:col>
      <xdr:colOff>593982</xdr:colOff>
      <xdr:row>17</xdr:row>
      <xdr:rowOff>49433</xdr:rowOff>
    </xdr:from>
    <xdr:to>
      <xdr:col>29</xdr:col>
      <xdr:colOff>519438</xdr:colOff>
      <xdr:row>18</xdr:row>
      <xdr:rowOff>72359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8812696" y="3005585"/>
          <a:ext cx="762296" cy="203220"/>
        </a:xfrm>
        <a:prstGeom prst="rect">
          <a:avLst/>
        </a:prstGeom>
        <a:solidFill>
          <a:srgbClr val="D5E5E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28</xdr:col>
      <xdr:colOff>593982</xdr:colOff>
      <xdr:row>18</xdr:row>
      <xdr:rowOff>135159</xdr:rowOff>
    </xdr:from>
    <xdr:to>
      <xdr:col>29</xdr:col>
      <xdr:colOff>519438</xdr:colOff>
      <xdr:row>19</xdr:row>
      <xdr:rowOff>158084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8812696" y="3271605"/>
          <a:ext cx="762296" cy="203220"/>
        </a:xfrm>
        <a:prstGeom prst="rect">
          <a:avLst/>
        </a:prstGeom>
        <a:solidFill>
          <a:srgbClr val="C000C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28</xdr:col>
      <xdr:colOff>593982</xdr:colOff>
      <xdr:row>20</xdr:row>
      <xdr:rowOff>40589</xdr:rowOff>
    </xdr:from>
    <xdr:to>
      <xdr:col>29</xdr:col>
      <xdr:colOff>519438</xdr:colOff>
      <xdr:row>21</xdr:row>
      <xdr:rowOff>63515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8812696" y="3537625"/>
          <a:ext cx="762296" cy="203220"/>
        </a:xfrm>
        <a:prstGeom prst="rect">
          <a:avLst/>
        </a:prstGeom>
        <a:solidFill>
          <a:srgbClr val="003087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28</xdr:col>
      <xdr:colOff>593982</xdr:colOff>
      <xdr:row>23</xdr:row>
      <xdr:rowOff>31741</xdr:rowOff>
    </xdr:from>
    <xdr:to>
      <xdr:col>29</xdr:col>
      <xdr:colOff>519438</xdr:colOff>
      <xdr:row>24</xdr:row>
      <xdr:rowOff>54667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8812696" y="4069661"/>
          <a:ext cx="762296" cy="203220"/>
        </a:xfrm>
        <a:prstGeom prst="rect">
          <a:avLst/>
        </a:prstGeom>
        <a:solidFill>
          <a:srgbClr val="787D8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28</xdr:col>
      <xdr:colOff>593982</xdr:colOff>
      <xdr:row>21</xdr:row>
      <xdr:rowOff>126315</xdr:rowOff>
    </xdr:from>
    <xdr:to>
      <xdr:col>29</xdr:col>
      <xdr:colOff>519438</xdr:colOff>
      <xdr:row>22</xdr:row>
      <xdr:rowOff>149240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8812696" y="3803645"/>
          <a:ext cx="762296" cy="203220"/>
        </a:xfrm>
        <a:prstGeom prst="rect">
          <a:avLst/>
        </a:prstGeom>
        <a:solidFill>
          <a:srgbClr val="003087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20</xdr:row>
          <xdr:rowOff>19050</xdr:rowOff>
        </xdr:from>
        <xdr:to>
          <xdr:col>28</xdr:col>
          <xdr:colOff>390525</xdr:colOff>
          <xdr:row>21</xdr:row>
          <xdr:rowOff>57150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Chapter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19050</xdr:colOff>
          <xdr:row>21</xdr:row>
          <xdr:rowOff>95250</xdr:rowOff>
        </xdr:from>
        <xdr:to>
          <xdr:col>28</xdr:col>
          <xdr:colOff>400050</xdr:colOff>
          <xdr:row>22</xdr:row>
          <xdr:rowOff>133350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Region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19050</xdr:colOff>
          <xdr:row>22</xdr:row>
          <xdr:rowOff>180975</xdr:rowOff>
        </xdr:from>
        <xdr:to>
          <xdr:col>28</xdr:col>
          <xdr:colOff>400050</xdr:colOff>
          <xdr:row>24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Society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0"/>
  <sheetViews>
    <sheetView showGridLines="0" tabSelected="1" zoomScaleNormal="100" workbookViewId="0">
      <selection sqref="A1:Y4"/>
    </sheetView>
  </sheetViews>
  <sheetFormatPr defaultColWidth="11" defaultRowHeight="14.25" x14ac:dyDescent="0.2"/>
  <cols>
    <col min="1" max="1" width="1.75" customWidth="1"/>
    <col min="2" max="8" width="3.5" customWidth="1"/>
    <col min="9" max="9" width="2.75" customWidth="1"/>
    <col min="10" max="16" width="3.5" customWidth="1"/>
    <col min="17" max="17" width="2.75" customWidth="1"/>
    <col min="18" max="24" width="3.5" customWidth="1"/>
    <col min="25" max="25" width="1.75" customWidth="1"/>
    <col min="26" max="26" width="3.75" customWidth="1"/>
  </cols>
  <sheetData>
    <row r="1" spans="1:28" ht="12.6" customHeight="1" x14ac:dyDescent="0.2">
      <c r="A1" s="13" t="str">
        <f>IF(Settings!C3&gt;1,Settings!B2&amp;"-"&amp;RIGHT(Settings!B2+1,2),Settings!B2)</f>
        <v>2024-25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8" ht="12.6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8" ht="12.6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8" ht="12.6" customHeight="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28" x14ac:dyDescent="0.2">
      <c r="B6" s="14">
        <f>DATE(Settings!$B$2,Settings!$C$3,1)</f>
        <v>45474</v>
      </c>
      <c r="C6" s="14"/>
      <c r="D6" s="14"/>
      <c r="E6" s="14"/>
      <c r="F6" s="14"/>
      <c r="G6" s="14"/>
      <c r="H6" s="14"/>
      <c r="J6" s="14">
        <f>EOMONTH(B6,0)+1</f>
        <v>45505</v>
      </c>
      <c r="K6" s="14"/>
      <c r="L6" s="14"/>
      <c r="M6" s="14"/>
      <c r="N6" s="14"/>
      <c r="O6" s="14"/>
      <c r="P6" s="14"/>
      <c r="R6" s="14">
        <f>EOMONTH(B6,1)+1</f>
        <v>45536</v>
      </c>
      <c r="S6" s="14"/>
      <c r="T6" s="14"/>
      <c r="U6" s="14"/>
      <c r="V6" s="14"/>
      <c r="W6" s="14"/>
      <c r="X6" s="14"/>
    </row>
    <row r="7" spans="1:28" x14ac:dyDescent="0.2">
      <c r="B7" s="2" t="str">
        <f>Settings!$B$4</f>
        <v>Sun</v>
      </c>
      <c r="C7" s="2" t="str">
        <f>INDEX(Settings!$O$2:$O$15,Settings!$C$4+1)</f>
        <v>Mon</v>
      </c>
      <c r="D7" s="2" t="str">
        <f>INDEX(Settings!$O$2:$O$15,Settings!$C$4+2)</f>
        <v>Tue</v>
      </c>
      <c r="E7" s="2" t="str">
        <f>INDEX(Settings!$O$2:$O$15,Settings!$C$4+3)</f>
        <v>Wed</v>
      </c>
      <c r="F7" s="2" t="str">
        <f>INDEX(Settings!$O$2:$O$15,Settings!$C$4+4)</f>
        <v>Thu</v>
      </c>
      <c r="G7" s="2" t="str">
        <f>INDEX(Settings!$O$2:$O$15,Settings!$C$4+5)</f>
        <v>Fri</v>
      </c>
      <c r="H7" s="2" t="str">
        <f>INDEX(Settings!$O$2:$O$15,Settings!$C$4+6)</f>
        <v>Sat</v>
      </c>
      <c r="J7" s="2" t="str">
        <f>Settings!$B$4</f>
        <v>Sun</v>
      </c>
      <c r="K7" s="2" t="str">
        <f>INDEX(Settings!$O$2:$O$15,Settings!$C$4+1)</f>
        <v>Mon</v>
      </c>
      <c r="L7" s="2" t="str">
        <f>INDEX(Settings!$O$2:$O$15,Settings!$C$4+2)</f>
        <v>Tue</v>
      </c>
      <c r="M7" s="2" t="str">
        <f>INDEX(Settings!$O$2:$O$15,Settings!$C$4+3)</f>
        <v>Wed</v>
      </c>
      <c r="N7" s="2" t="str">
        <f>INDEX(Settings!$O$2:$O$15,Settings!$C$4+4)</f>
        <v>Thu</v>
      </c>
      <c r="O7" s="2" t="str">
        <f>INDEX(Settings!$O$2:$O$15,Settings!$C$4+5)</f>
        <v>Fri</v>
      </c>
      <c r="P7" s="2" t="str">
        <f>INDEX(Settings!$O$2:$O$15,Settings!$C$4+6)</f>
        <v>Sat</v>
      </c>
      <c r="R7" s="2" t="str">
        <f>Settings!$B$4</f>
        <v>Sun</v>
      </c>
      <c r="S7" s="2" t="str">
        <f>INDEX(Settings!$O$2:$O$15,Settings!$C$4+1)</f>
        <v>Mon</v>
      </c>
      <c r="T7" s="2" t="str">
        <f>INDEX(Settings!$O$2:$O$15,Settings!$C$4+2)</f>
        <v>Tue</v>
      </c>
      <c r="U7" s="2" t="str">
        <f>INDEX(Settings!$O$2:$O$15,Settings!$C$4+3)</f>
        <v>Wed</v>
      </c>
      <c r="V7" s="2" t="str">
        <f>INDEX(Settings!$O$2:$O$15,Settings!$C$4+4)</f>
        <v>Thu</v>
      </c>
      <c r="W7" s="2" t="str">
        <f>INDEX(Settings!$O$2:$O$15,Settings!$C$4+5)</f>
        <v>Fri</v>
      </c>
      <c r="X7" s="2" t="str">
        <f>INDEX(Settings!$O$2:$O$15,Settings!$C$4+6)</f>
        <v>Sat</v>
      </c>
    </row>
    <row r="8" spans="1:28" x14ac:dyDescent="0.2">
      <c r="B8" s="4" t="str">
        <f>IF(A8="",IF(TEXT($B$6,"DDD")=B$7,$B$6,""),A8+1)</f>
        <v/>
      </c>
      <c r="C8" s="4">
        <f t="shared" ref="C8:H8" si="0">IF(B8="",IF(TEXT($B$6,"DDD")=C$7,$B$6,""),B8+1)</f>
        <v>45474</v>
      </c>
      <c r="D8" s="4">
        <f t="shared" si="0"/>
        <v>45475</v>
      </c>
      <c r="E8" s="4">
        <f t="shared" si="0"/>
        <v>45476</v>
      </c>
      <c r="F8" s="4">
        <f t="shared" si="0"/>
        <v>45477</v>
      </c>
      <c r="G8" s="4">
        <f t="shared" si="0"/>
        <v>45478</v>
      </c>
      <c r="H8" s="4">
        <f t="shared" si="0"/>
        <v>45479</v>
      </c>
      <c r="J8" s="4" t="str">
        <f t="shared" ref="J8:P8" si="1">IF(I8="",IF(TEXT($J$6,"DDD")=J$7,$J$6,""),I8+1)</f>
        <v/>
      </c>
      <c r="K8" s="4" t="str">
        <f t="shared" si="1"/>
        <v/>
      </c>
      <c r="L8" s="4" t="str">
        <f t="shared" si="1"/>
        <v/>
      </c>
      <c r="M8" s="4" t="str">
        <f t="shared" si="1"/>
        <v/>
      </c>
      <c r="N8" s="4">
        <f t="shared" si="1"/>
        <v>45505</v>
      </c>
      <c r="O8" s="4">
        <f t="shared" si="1"/>
        <v>45506</v>
      </c>
      <c r="P8" s="4">
        <f t="shared" si="1"/>
        <v>45507</v>
      </c>
      <c r="R8" s="4">
        <f t="shared" ref="R8:X8" si="2">IF(Q8="",IF(TEXT($R$6,"DDD")=R$7,$R$6,""),Q8+1)</f>
        <v>45536</v>
      </c>
      <c r="S8" s="4">
        <f t="shared" si="2"/>
        <v>45537</v>
      </c>
      <c r="T8" s="4">
        <f t="shared" si="2"/>
        <v>45538</v>
      </c>
      <c r="U8" s="4">
        <f t="shared" si="2"/>
        <v>45539</v>
      </c>
      <c r="V8" s="4">
        <f t="shared" si="2"/>
        <v>45540</v>
      </c>
      <c r="W8" s="4">
        <f t="shared" si="2"/>
        <v>45541</v>
      </c>
      <c r="X8" s="4">
        <f t="shared" si="2"/>
        <v>45542</v>
      </c>
    </row>
    <row r="9" spans="1:28" x14ac:dyDescent="0.2">
      <c r="B9" s="4">
        <f>IF(H8="","",IF(EOMONTH(H8,0)&gt;=H8+1, H8+1, ""))</f>
        <v>45480</v>
      </c>
      <c r="C9" s="4">
        <f>IF(B9="","",IF(EOMONTH(B9,0)&gt;=B9+1, B9+1, ""))</f>
        <v>45481</v>
      </c>
      <c r="D9" s="4">
        <f t="shared" ref="D9:H9" si="3">IF(C9="","",IF(EOMONTH(C9,0)&gt;=C9+1, C9+1, ""))</f>
        <v>45482</v>
      </c>
      <c r="E9" s="4">
        <f t="shared" si="3"/>
        <v>45483</v>
      </c>
      <c r="F9" s="4">
        <f t="shared" si="3"/>
        <v>45484</v>
      </c>
      <c r="G9" s="4">
        <f t="shared" si="3"/>
        <v>45485</v>
      </c>
      <c r="H9" s="4">
        <f t="shared" si="3"/>
        <v>45486</v>
      </c>
      <c r="J9" s="4">
        <f>IF(P8="","",IF(EOMONTH(P8,0)&gt;=P8+1, P8+1, ""))</f>
        <v>45508</v>
      </c>
      <c r="K9" s="4">
        <f>IF(J9="","",IF(EOMONTH(J9,0)&gt;=J9+1, J9+1, ""))</f>
        <v>45509</v>
      </c>
      <c r="L9" s="4">
        <f t="shared" ref="L9:P9" si="4">IF(K9="","",IF(EOMONTH(K9,0)&gt;=K9+1, K9+1, ""))</f>
        <v>45510</v>
      </c>
      <c r="M9" s="4">
        <f t="shared" si="4"/>
        <v>45511</v>
      </c>
      <c r="N9" s="4">
        <f t="shared" si="4"/>
        <v>45512</v>
      </c>
      <c r="O9" s="4">
        <f t="shared" si="4"/>
        <v>45513</v>
      </c>
      <c r="P9" s="4">
        <f t="shared" si="4"/>
        <v>45514</v>
      </c>
      <c r="R9" s="4">
        <f>IF(X8="","",IF(EOMONTH(X8,0)&gt;=X8+1, X8+1, ""))</f>
        <v>45543</v>
      </c>
      <c r="S9" s="4">
        <f>IF(R9="","",IF(EOMONTH(R9,0)&gt;=R9+1, R9+1, ""))</f>
        <v>45544</v>
      </c>
      <c r="T9" s="4">
        <f t="shared" ref="T9:X9" si="5">IF(S9="","",IF(EOMONTH(S9,0)&gt;=S9+1, S9+1, ""))</f>
        <v>45545</v>
      </c>
      <c r="U9" s="4">
        <f t="shared" si="5"/>
        <v>45546</v>
      </c>
      <c r="V9" s="4">
        <f t="shared" si="5"/>
        <v>45547</v>
      </c>
      <c r="W9" s="4">
        <f t="shared" si="5"/>
        <v>45548</v>
      </c>
      <c r="X9" s="4">
        <f t="shared" si="5"/>
        <v>45549</v>
      </c>
    </row>
    <row r="10" spans="1:28" x14ac:dyDescent="0.2">
      <c r="B10" s="4">
        <f t="shared" ref="B10:B13" si="6">IF(H9="","",IF(EOMONTH(H9,0)&gt;=H9+1, H9+1, ""))</f>
        <v>45487</v>
      </c>
      <c r="C10" s="4">
        <f t="shared" ref="C10:H10" si="7">IF(B10="","",IF(EOMONTH(B10,0)&gt;=B10+1, B10+1, ""))</f>
        <v>45488</v>
      </c>
      <c r="D10" s="4">
        <f t="shared" si="7"/>
        <v>45489</v>
      </c>
      <c r="E10" s="4">
        <f t="shared" si="7"/>
        <v>45490</v>
      </c>
      <c r="F10" s="4">
        <f t="shared" si="7"/>
        <v>45491</v>
      </c>
      <c r="G10" s="4">
        <f t="shared" si="7"/>
        <v>45492</v>
      </c>
      <c r="H10" s="4">
        <f t="shared" si="7"/>
        <v>45493</v>
      </c>
      <c r="J10" s="4">
        <f t="shared" ref="J10:J13" si="8">IF(P9="","",IF(EOMONTH(P9,0)&gt;=P9+1, P9+1, ""))</f>
        <v>45515</v>
      </c>
      <c r="K10" s="4">
        <f t="shared" ref="K10:P10" si="9">IF(J10="","",IF(EOMONTH(J10,0)&gt;=J10+1, J10+1, ""))</f>
        <v>45516</v>
      </c>
      <c r="L10" s="4">
        <f t="shared" si="9"/>
        <v>45517</v>
      </c>
      <c r="M10" s="4">
        <f t="shared" si="9"/>
        <v>45518</v>
      </c>
      <c r="N10" s="4">
        <f t="shared" si="9"/>
        <v>45519</v>
      </c>
      <c r="O10" s="4">
        <f t="shared" si="9"/>
        <v>45520</v>
      </c>
      <c r="P10" s="4">
        <f t="shared" si="9"/>
        <v>45521</v>
      </c>
      <c r="R10" s="4">
        <f t="shared" ref="R10:R13" si="10">IF(X9="","",IF(EOMONTH(X9,0)&gt;=X9+1, X9+1, ""))</f>
        <v>45550</v>
      </c>
      <c r="S10" s="4">
        <f t="shared" ref="S10:X10" si="11">IF(R10="","",IF(EOMONTH(R10,0)&gt;=R10+1, R10+1, ""))</f>
        <v>45551</v>
      </c>
      <c r="T10" s="4">
        <f t="shared" si="11"/>
        <v>45552</v>
      </c>
      <c r="U10" s="4">
        <f t="shared" si="11"/>
        <v>45553</v>
      </c>
      <c r="V10" s="4">
        <f t="shared" si="11"/>
        <v>45554</v>
      </c>
      <c r="W10" s="4">
        <f t="shared" si="11"/>
        <v>45555</v>
      </c>
      <c r="X10" s="4">
        <f t="shared" si="11"/>
        <v>45556</v>
      </c>
    </row>
    <row r="11" spans="1:28" x14ac:dyDescent="0.2">
      <c r="B11" s="4">
        <f t="shared" si="6"/>
        <v>45494</v>
      </c>
      <c r="C11" s="4">
        <f t="shared" ref="C11:H11" si="12">IF(B11="","",IF(EOMONTH(B11,0)&gt;=B11+1, B11+1, ""))</f>
        <v>45495</v>
      </c>
      <c r="D11" s="4">
        <f t="shared" si="12"/>
        <v>45496</v>
      </c>
      <c r="E11" s="4">
        <f t="shared" si="12"/>
        <v>45497</v>
      </c>
      <c r="F11" s="4">
        <f t="shared" si="12"/>
        <v>45498</v>
      </c>
      <c r="G11" s="4">
        <f t="shared" si="12"/>
        <v>45499</v>
      </c>
      <c r="H11" s="4">
        <f t="shared" si="12"/>
        <v>45500</v>
      </c>
      <c r="J11" s="4">
        <f t="shared" si="8"/>
        <v>45522</v>
      </c>
      <c r="K11" s="4">
        <f t="shared" ref="K11:P11" si="13">IF(J11="","",IF(EOMONTH(J11,0)&gt;=J11+1, J11+1, ""))</f>
        <v>45523</v>
      </c>
      <c r="L11" s="4">
        <f t="shared" si="13"/>
        <v>45524</v>
      </c>
      <c r="M11" s="4">
        <f t="shared" si="13"/>
        <v>45525</v>
      </c>
      <c r="N11" s="4">
        <f t="shared" si="13"/>
        <v>45526</v>
      </c>
      <c r="O11" s="4">
        <f t="shared" si="13"/>
        <v>45527</v>
      </c>
      <c r="P11" s="4">
        <f t="shared" si="13"/>
        <v>45528</v>
      </c>
      <c r="R11" s="4">
        <f t="shared" si="10"/>
        <v>45557</v>
      </c>
      <c r="S11" s="4">
        <f t="shared" ref="S11:X11" si="14">IF(R11="","",IF(EOMONTH(R11,0)&gt;=R11+1, R11+1, ""))</f>
        <v>45558</v>
      </c>
      <c r="T11" s="4">
        <f t="shared" si="14"/>
        <v>45559</v>
      </c>
      <c r="U11" s="4">
        <f t="shared" si="14"/>
        <v>45560</v>
      </c>
      <c r="V11" s="4">
        <f t="shared" si="14"/>
        <v>45561</v>
      </c>
      <c r="W11" s="4">
        <f t="shared" si="14"/>
        <v>45562</v>
      </c>
      <c r="X11" s="4">
        <f t="shared" si="14"/>
        <v>45563</v>
      </c>
    </row>
    <row r="12" spans="1:28" x14ac:dyDescent="0.2">
      <c r="B12" s="4">
        <f t="shared" si="6"/>
        <v>45501</v>
      </c>
      <c r="C12" s="4">
        <f t="shared" ref="C12:H12" si="15">IF(B12="","",IF(EOMONTH(B12,0)&gt;=B12+1, B12+1, ""))</f>
        <v>45502</v>
      </c>
      <c r="D12" s="4">
        <f t="shared" si="15"/>
        <v>45503</v>
      </c>
      <c r="E12" s="4">
        <f t="shared" si="15"/>
        <v>45504</v>
      </c>
      <c r="F12" s="4" t="str">
        <f t="shared" si="15"/>
        <v/>
      </c>
      <c r="G12" s="4" t="str">
        <f t="shared" si="15"/>
        <v/>
      </c>
      <c r="H12" s="4" t="str">
        <f t="shared" si="15"/>
        <v/>
      </c>
      <c r="J12" s="4">
        <f t="shared" si="8"/>
        <v>45529</v>
      </c>
      <c r="K12" s="4">
        <f t="shared" ref="K12:P12" si="16">IF(J12="","",IF(EOMONTH(J12,0)&gt;=J12+1, J12+1, ""))</f>
        <v>45530</v>
      </c>
      <c r="L12" s="4">
        <f t="shared" si="16"/>
        <v>45531</v>
      </c>
      <c r="M12" s="4">
        <f t="shared" si="16"/>
        <v>45532</v>
      </c>
      <c r="N12" s="4">
        <f t="shared" si="16"/>
        <v>45533</v>
      </c>
      <c r="O12" s="4">
        <f t="shared" si="16"/>
        <v>45534</v>
      </c>
      <c r="P12" s="4">
        <f t="shared" si="16"/>
        <v>45535</v>
      </c>
      <c r="R12" s="4">
        <f t="shared" si="10"/>
        <v>45564</v>
      </c>
      <c r="S12" s="4">
        <f t="shared" ref="S12:X12" si="17">IF(R12="","",IF(EOMONTH(R12,0)&gt;=R12+1, R12+1, ""))</f>
        <v>45565</v>
      </c>
      <c r="T12" s="4" t="str">
        <f t="shared" si="17"/>
        <v/>
      </c>
      <c r="U12" s="4" t="str">
        <f t="shared" si="17"/>
        <v/>
      </c>
      <c r="V12" s="4" t="str">
        <f t="shared" si="17"/>
        <v/>
      </c>
      <c r="W12" s="4" t="str">
        <f t="shared" si="17"/>
        <v/>
      </c>
      <c r="X12" s="4" t="str">
        <f t="shared" si="17"/>
        <v/>
      </c>
    </row>
    <row r="13" spans="1:28" x14ac:dyDescent="0.2">
      <c r="B13" s="4" t="str">
        <f t="shared" si="6"/>
        <v/>
      </c>
      <c r="C13" s="4" t="str">
        <f t="shared" ref="C13:H13" si="18">IF(B13="","",IF(EOMONTH(B13,0)&gt;=B13+1, B13+1, ""))</f>
        <v/>
      </c>
      <c r="D13" s="4" t="str">
        <f t="shared" si="18"/>
        <v/>
      </c>
      <c r="E13" s="4" t="str">
        <f t="shared" si="18"/>
        <v/>
      </c>
      <c r="F13" s="4" t="str">
        <f t="shared" si="18"/>
        <v/>
      </c>
      <c r="G13" s="4" t="str">
        <f t="shared" si="18"/>
        <v/>
      </c>
      <c r="H13" s="4" t="str">
        <f t="shared" si="18"/>
        <v/>
      </c>
      <c r="J13" s="4" t="str">
        <f t="shared" si="8"/>
        <v/>
      </c>
      <c r="K13" s="4" t="str">
        <f t="shared" ref="K13:P13" si="19">IF(J13="","",IF(EOMONTH(J13,0)&gt;=J13+1, J13+1, ""))</f>
        <v/>
      </c>
      <c r="L13" s="4" t="str">
        <f t="shared" si="19"/>
        <v/>
      </c>
      <c r="M13" s="4" t="str">
        <f t="shared" si="19"/>
        <v/>
      </c>
      <c r="N13" s="4" t="str">
        <f t="shared" si="19"/>
        <v/>
      </c>
      <c r="O13" s="4" t="str">
        <f t="shared" si="19"/>
        <v/>
      </c>
      <c r="P13" s="4" t="str">
        <f t="shared" si="19"/>
        <v/>
      </c>
      <c r="R13" s="4" t="str">
        <f t="shared" si="10"/>
        <v/>
      </c>
      <c r="S13" s="4" t="str">
        <f t="shared" ref="S13:X13" si="20">IF(R13="","",IF(EOMONTH(R13,0)&gt;=R13+1, R13+1, ""))</f>
        <v/>
      </c>
      <c r="T13" s="4" t="str">
        <f t="shared" si="20"/>
        <v/>
      </c>
      <c r="U13" s="4" t="str">
        <f t="shared" si="20"/>
        <v/>
      </c>
      <c r="V13" s="4" t="str">
        <f t="shared" si="20"/>
        <v/>
      </c>
      <c r="W13" s="4" t="str">
        <f t="shared" si="20"/>
        <v/>
      </c>
      <c r="X13" s="4" t="str">
        <f t="shared" si="20"/>
        <v/>
      </c>
      <c r="AB13" t="s">
        <v>0</v>
      </c>
    </row>
    <row r="15" spans="1:28" x14ac:dyDescent="0.2">
      <c r="B15" s="14">
        <f>EOMONTH(B6,2)+1</f>
        <v>45566</v>
      </c>
      <c r="C15" s="14"/>
      <c r="D15" s="14"/>
      <c r="E15" s="14"/>
      <c r="F15" s="14"/>
      <c r="G15" s="14"/>
      <c r="H15" s="14"/>
      <c r="J15" s="14">
        <f>EOMONTH(B6,3)+1</f>
        <v>45597</v>
      </c>
      <c r="K15" s="14"/>
      <c r="L15" s="14"/>
      <c r="M15" s="14"/>
      <c r="N15" s="14"/>
      <c r="O15" s="14"/>
      <c r="P15" s="14"/>
      <c r="R15" s="14">
        <f>EOMONTH(B6,4)+1</f>
        <v>45627</v>
      </c>
      <c r="S15" s="14"/>
      <c r="T15" s="14"/>
      <c r="U15" s="14"/>
      <c r="V15" s="14"/>
      <c r="W15" s="14"/>
      <c r="X15" s="14"/>
    </row>
    <row r="16" spans="1:28" x14ac:dyDescent="0.2">
      <c r="B16" s="2" t="str">
        <f>Settings!$B$4</f>
        <v>Sun</v>
      </c>
      <c r="C16" s="2" t="str">
        <f>INDEX(Settings!$O$2:$O$15,Settings!$C$4+1)</f>
        <v>Mon</v>
      </c>
      <c r="D16" s="2" t="str">
        <f>INDEX(Settings!$O$2:$O$15,Settings!$C$4+2)</f>
        <v>Tue</v>
      </c>
      <c r="E16" s="2" t="str">
        <f>INDEX(Settings!$O$2:$O$15,Settings!$C$4+3)</f>
        <v>Wed</v>
      </c>
      <c r="F16" s="2" t="str">
        <f>INDEX(Settings!$O$2:$O$15,Settings!$C$4+4)</f>
        <v>Thu</v>
      </c>
      <c r="G16" s="2" t="str">
        <f>INDEX(Settings!$O$2:$O$15,Settings!$C$4+5)</f>
        <v>Fri</v>
      </c>
      <c r="H16" s="2" t="str">
        <f>INDEX(Settings!$O$2:$O$15,Settings!$C$4+6)</f>
        <v>Sat</v>
      </c>
      <c r="J16" s="2" t="str">
        <f>Settings!$B$4</f>
        <v>Sun</v>
      </c>
      <c r="K16" s="2" t="str">
        <f>INDEX(Settings!$O$2:$O$15,Settings!$C$4+1)</f>
        <v>Mon</v>
      </c>
      <c r="L16" s="2" t="str">
        <f>INDEX(Settings!$O$2:$O$15,Settings!$C$4+2)</f>
        <v>Tue</v>
      </c>
      <c r="M16" s="2" t="str">
        <f>INDEX(Settings!$O$2:$O$15,Settings!$C$4+3)</f>
        <v>Wed</v>
      </c>
      <c r="N16" s="2" t="str">
        <f>INDEX(Settings!$O$2:$O$15,Settings!$C$4+4)</f>
        <v>Thu</v>
      </c>
      <c r="O16" s="2" t="str">
        <f>INDEX(Settings!$O$2:$O$15,Settings!$C$4+5)</f>
        <v>Fri</v>
      </c>
      <c r="P16" s="2" t="str">
        <f>INDEX(Settings!$O$2:$O$15,Settings!$C$4+6)</f>
        <v>Sat</v>
      </c>
      <c r="R16" s="2" t="str">
        <f>Settings!$B$4</f>
        <v>Sun</v>
      </c>
      <c r="S16" s="2" t="str">
        <f>INDEX(Settings!$O$2:$O$15,Settings!$C$4+1)</f>
        <v>Mon</v>
      </c>
      <c r="T16" s="2" t="str">
        <f>INDEX(Settings!$O$2:$O$15,Settings!$C$4+2)</f>
        <v>Tue</v>
      </c>
      <c r="U16" s="2" t="str">
        <f>INDEX(Settings!$O$2:$O$15,Settings!$C$4+3)</f>
        <v>Wed</v>
      </c>
      <c r="V16" s="2" t="str">
        <f>INDEX(Settings!$O$2:$O$15,Settings!$C$4+4)</f>
        <v>Thu</v>
      </c>
      <c r="W16" s="2" t="str">
        <f>INDEX(Settings!$O$2:$O$15,Settings!$C$4+5)</f>
        <v>Fri</v>
      </c>
      <c r="X16" s="2" t="str">
        <f>INDEX(Settings!$O$2:$O$15,Settings!$C$4+6)</f>
        <v>Sat</v>
      </c>
    </row>
    <row r="17" spans="2:24" x14ac:dyDescent="0.2">
      <c r="B17" s="4" t="str">
        <f t="shared" ref="B17:H17" si="21">IF(A17="",IF(TEXT($B$15,"DDD")=B$7,$B$15,""),A17+1)</f>
        <v/>
      </c>
      <c r="C17" s="4" t="str">
        <f t="shared" si="21"/>
        <v/>
      </c>
      <c r="D17" s="4">
        <f t="shared" si="21"/>
        <v>45566</v>
      </c>
      <c r="E17" s="4">
        <f t="shared" si="21"/>
        <v>45567</v>
      </c>
      <c r="F17" s="4">
        <f t="shared" si="21"/>
        <v>45568</v>
      </c>
      <c r="G17" s="4">
        <f t="shared" si="21"/>
        <v>45569</v>
      </c>
      <c r="H17" s="4">
        <f t="shared" si="21"/>
        <v>45570</v>
      </c>
      <c r="J17" s="4" t="str">
        <f t="shared" ref="J17:P17" si="22">IF(I17="",IF(TEXT($J$15,"DDD")=J$7,$J$15,""),I17+1)</f>
        <v/>
      </c>
      <c r="K17" s="4" t="str">
        <f t="shared" si="22"/>
        <v/>
      </c>
      <c r="L17" s="4" t="str">
        <f t="shared" si="22"/>
        <v/>
      </c>
      <c r="M17" s="4" t="str">
        <f t="shared" si="22"/>
        <v/>
      </c>
      <c r="N17" s="4" t="str">
        <f t="shared" si="22"/>
        <v/>
      </c>
      <c r="O17" s="4">
        <f t="shared" si="22"/>
        <v>45597</v>
      </c>
      <c r="P17" s="4">
        <f t="shared" si="22"/>
        <v>45598</v>
      </c>
      <c r="R17" s="4">
        <f t="shared" ref="R17:X17" si="23">IF(Q17="",IF(TEXT($R$15,"DDD")=R$7,$R$15,""),Q17+1)</f>
        <v>45627</v>
      </c>
      <c r="S17" s="4">
        <f t="shared" si="23"/>
        <v>45628</v>
      </c>
      <c r="T17" s="4">
        <f t="shared" si="23"/>
        <v>45629</v>
      </c>
      <c r="U17" s="4">
        <f t="shared" si="23"/>
        <v>45630</v>
      </c>
      <c r="V17" s="4">
        <f t="shared" si="23"/>
        <v>45631</v>
      </c>
      <c r="W17" s="4">
        <f t="shared" si="23"/>
        <v>45632</v>
      </c>
      <c r="X17" s="4">
        <f t="shared" si="23"/>
        <v>45633</v>
      </c>
    </row>
    <row r="18" spans="2:24" x14ac:dyDescent="0.2">
      <c r="B18" s="4">
        <f>IF(H17="","",IF(EOMONTH(H17,0)&gt;=H17+1, H17+1, ""))</f>
        <v>45571</v>
      </c>
      <c r="C18" s="4">
        <f>IF(B18="","",IF(EOMONTH(B18,0)&gt;=B18+1, B18+1, ""))</f>
        <v>45572</v>
      </c>
      <c r="D18" s="4">
        <f t="shared" ref="D18:H18" si="24">IF(C18="","",IF(EOMONTH(C18,0)&gt;=C18+1, C18+1, ""))</f>
        <v>45573</v>
      </c>
      <c r="E18" s="4">
        <f t="shared" si="24"/>
        <v>45574</v>
      </c>
      <c r="F18" s="4">
        <f t="shared" si="24"/>
        <v>45575</v>
      </c>
      <c r="G18" s="4">
        <f t="shared" si="24"/>
        <v>45576</v>
      </c>
      <c r="H18" s="4">
        <f t="shared" si="24"/>
        <v>45577</v>
      </c>
      <c r="J18" s="4">
        <f>IF(P17="","",IF(EOMONTH(P17,0)&gt;=P17+1, P17+1, ""))</f>
        <v>45599</v>
      </c>
      <c r="K18" s="4">
        <f>IF(J18="","",IF(EOMONTH(J18,0)&gt;=J18+1, J18+1, ""))</f>
        <v>45600</v>
      </c>
      <c r="L18" s="4">
        <f t="shared" ref="L18:P18" si="25">IF(K18="","",IF(EOMONTH(K18,0)&gt;=K18+1, K18+1, ""))</f>
        <v>45601</v>
      </c>
      <c r="M18" s="4">
        <f t="shared" si="25"/>
        <v>45602</v>
      </c>
      <c r="N18" s="4">
        <f t="shared" si="25"/>
        <v>45603</v>
      </c>
      <c r="O18" s="4">
        <f t="shared" si="25"/>
        <v>45604</v>
      </c>
      <c r="P18" s="4">
        <f t="shared" si="25"/>
        <v>45605</v>
      </c>
      <c r="R18" s="4">
        <f>IF(X17="","",IF(EOMONTH(X17,0)&gt;=X17+1, X17+1, ""))</f>
        <v>45634</v>
      </c>
      <c r="S18" s="4">
        <f>IF(R18="","",IF(EOMONTH(R18,0)&gt;=R18+1, R18+1, ""))</f>
        <v>45635</v>
      </c>
      <c r="T18" s="4">
        <f t="shared" ref="T18:X18" si="26">IF(S18="","",IF(EOMONTH(S18,0)&gt;=S18+1, S18+1, ""))</f>
        <v>45636</v>
      </c>
      <c r="U18" s="4">
        <f t="shared" si="26"/>
        <v>45637</v>
      </c>
      <c r="V18" s="4">
        <f t="shared" si="26"/>
        <v>45638</v>
      </c>
      <c r="W18" s="4">
        <f t="shared" si="26"/>
        <v>45639</v>
      </c>
      <c r="X18" s="4">
        <f t="shared" si="26"/>
        <v>45640</v>
      </c>
    </row>
    <row r="19" spans="2:24" x14ac:dyDescent="0.2">
      <c r="B19" s="4">
        <f t="shared" ref="B19:B22" si="27">IF(H18="","",IF(EOMONTH(H18,0)&gt;=H18+1, H18+1, ""))</f>
        <v>45578</v>
      </c>
      <c r="C19" s="4">
        <f t="shared" ref="C19:H19" si="28">IF(B19="","",IF(EOMONTH(B19,0)&gt;=B19+1, B19+1, ""))</f>
        <v>45579</v>
      </c>
      <c r="D19" s="4">
        <f t="shared" si="28"/>
        <v>45580</v>
      </c>
      <c r="E19" s="4">
        <f t="shared" si="28"/>
        <v>45581</v>
      </c>
      <c r="F19" s="4">
        <f t="shared" si="28"/>
        <v>45582</v>
      </c>
      <c r="G19" s="4">
        <f t="shared" si="28"/>
        <v>45583</v>
      </c>
      <c r="H19" s="4">
        <f t="shared" si="28"/>
        <v>45584</v>
      </c>
      <c r="J19" s="4">
        <f t="shared" ref="J19:J22" si="29">IF(P18="","",IF(EOMONTH(P18,0)&gt;=P18+1, P18+1, ""))</f>
        <v>45606</v>
      </c>
      <c r="K19" s="4">
        <f t="shared" ref="K19:P19" si="30">IF(J19="","",IF(EOMONTH(J19,0)&gt;=J19+1, J19+1, ""))</f>
        <v>45607</v>
      </c>
      <c r="L19" s="4">
        <f t="shared" si="30"/>
        <v>45608</v>
      </c>
      <c r="M19" s="4">
        <f t="shared" si="30"/>
        <v>45609</v>
      </c>
      <c r="N19" s="4">
        <f t="shared" si="30"/>
        <v>45610</v>
      </c>
      <c r="O19" s="4">
        <f t="shared" si="30"/>
        <v>45611</v>
      </c>
      <c r="P19" s="4">
        <f t="shared" si="30"/>
        <v>45612</v>
      </c>
      <c r="R19" s="4">
        <f t="shared" ref="R19:R22" si="31">IF(X18="","",IF(EOMONTH(X18,0)&gt;=X18+1, X18+1, ""))</f>
        <v>45641</v>
      </c>
      <c r="S19" s="4">
        <f t="shared" ref="S19:X19" si="32">IF(R19="","",IF(EOMONTH(R19,0)&gt;=R19+1, R19+1, ""))</f>
        <v>45642</v>
      </c>
      <c r="T19" s="4">
        <f t="shared" si="32"/>
        <v>45643</v>
      </c>
      <c r="U19" s="4">
        <f t="shared" si="32"/>
        <v>45644</v>
      </c>
      <c r="V19" s="4">
        <f t="shared" si="32"/>
        <v>45645</v>
      </c>
      <c r="W19" s="4">
        <f t="shared" si="32"/>
        <v>45646</v>
      </c>
      <c r="X19" s="4">
        <f t="shared" si="32"/>
        <v>45647</v>
      </c>
    </row>
    <row r="20" spans="2:24" x14ac:dyDescent="0.2">
      <c r="B20" s="4">
        <f t="shared" si="27"/>
        <v>45585</v>
      </c>
      <c r="C20" s="4">
        <f t="shared" ref="C20:H20" si="33">IF(B20="","",IF(EOMONTH(B20,0)&gt;=B20+1, B20+1, ""))</f>
        <v>45586</v>
      </c>
      <c r="D20" s="4">
        <f t="shared" si="33"/>
        <v>45587</v>
      </c>
      <c r="E20" s="4">
        <f t="shared" si="33"/>
        <v>45588</v>
      </c>
      <c r="F20" s="4">
        <f t="shared" si="33"/>
        <v>45589</v>
      </c>
      <c r="G20" s="4">
        <f t="shared" si="33"/>
        <v>45590</v>
      </c>
      <c r="H20" s="4">
        <f t="shared" si="33"/>
        <v>45591</v>
      </c>
      <c r="J20" s="4">
        <f t="shared" si="29"/>
        <v>45613</v>
      </c>
      <c r="K20" s="4">
        <f t="shared" ref="K20:P20" si="34">IF(J20="","",IF(EOMONTH(J20,0)&gt;=J20+1, J20+1, ""))</f>
        <v>45614</v>
      </c>
      <c r="L20" s="4">
        <f t="shared" si="34"/>
        <v>45615</v>
      </c>
      <c r="M20" s="4">
        <f t="shared" si="34"/>
        <v>45616</v>
      </c>
      <c r="N20" s="4">
        <f t="shared" si="34"/>
        <v>45617</v>
      </c>
      <c r="O20" s="4">
        <f t="shared" si="34"/>
        <v>45618</v>
      </c>
      <c r="P20" s="4">
        <f t="shared" si="34"/>
        <v>45619</v>
      </c>
      <c r="R20" s="4">
        <f t="shared" si="31"/>
        <v>45648</v>
      </c>
      <c r="S20" s="4">
        <f t="shared" ref="S20:X20" si="35">IF(R20="","",IF(EOMONTH(R20,0)&gt;=R20+1, R20+1, ""))</f>
        <v>45649</v>
      </c>
      <c r="T20" s="4">
        <f t="shared" si="35"/>
        <v>45650</v>
      </c>
      <c r="U20" s="4">
        <f t="shared" si="35"/>
        <v>45651</v>
      </c>
      <c r="V20" s="4">
        <f t="shared" si="35"/>
        <v>45652</v>
      </c>
      <c r="W20" s="4">
        <f t="shared" si="35"/>
        <v>45653</v>
      </c>
      <c r="X20" s="4">
        <f t="shared" si="35"/>
        <v>45654</v>
      </c>
    </row>
    <row r="21" spans="2:24" x14ac:dyDescent="0.2">
      <c r="B21" s="4">
        <f t="shared" si="27"/>
        <v>45592</v>
      </c>
      <c r="C21" s="4">
        <f t="shared" ref="C21:H21" si="36">IF(B21="","",IF(EOMONTH(B21,0)&gt;=B21+1, B21+1, ""))</f>
        <v>45593</v>
      </c>
      <c r="D21" s="4">
        <f t="shared" si="36"/>
        <v>45594</v>
      </c>
      <c r="E21" s="4">
        <f t="shared" si="36"/>
        <v>45595</v>
      </c>
      <c r="F21" s="4">
        <f t="shared" si="36"/>
        <v>45596</v>
      </c>
      <c r="G21" s="4" t="str">
        <f t="shared" si="36"/>
        <v/>
      </c>
      <c r="H21" s="4" t="str">
        <f t="shared" si="36"/>
        <v/>
      </c>
      <c r="J21" s="4">
        <f t="shared" si="29"/>
        <v>45620</v>
      </c>
      <c r="K21" s="4">
        <f t="shared" ref="K21:P21" si="37">IF(J21="","",IF(EOMONTH(J21,0)&gt;=J21+1, J21+1, ""))</f>
        <v>45621</v>
      </c>
      <c r="L21" s="4">
        <f t="shared" si="37"/>
        <v>45622</v>
      </c>
      <c r="M21" s="4">
        <f t="shared" si="37"/>
        <v>45623</v>
      </c>
      <c r="N21" s="4">
        <f t="shared" si="37"/>
        <v>45624</v>
      </c>
      <c r="O21" s="4">
        <f t="shared" si="37"/>
        <v>45625</v>
      </c>
      <c r="P21" s="4">
        <f t="shared" si="37"/>
        <v>45626</v>
      </c>
      <c r="R21" s="4">
        <f t="shared" si="31"/>
        <v>45655</v>
      </c>
      <c r="S21" s="4">
        <f t="shared" ref="S21:X21" si="38">IF(R21="","",IF(EOMONTH(R21,0)&gt;=R21+1, R21+1, ""))</f>
        <v>45656</v>
      </c>
      <c r="T21" s="4">
        <f t="shared" si="38"/>
        <v>45657</v>
      </c>
      <c r="U21" s="4" t="str">
        <f t="shared" si="38"/>
        <v/>
      </c>
      <c r="V21" s="4" t="str">
        <f t="shared" si="38"/>
        <v/>
      </c>
      <c r="W21" s="4" t="str">
        <f t="shared" si="38"/>
        <v/>
      </c>
      <c r="X21" s="4" t="str">
        <f t="shared" si="38"/>
        <v/>
      </c>
    </row>
    <row r="22" spans="2:24" x14ac:dyDescent="0.2">
      <c r="B22" s="4" t="str">
        <f t="shared" si="27"/>
        <v/>
      </c>
      <c r="C22" s="4" t="str">
        <f t="shared" ref="C22:H22" si="39">IF(B22="","",IF(EOMONTH(B22,0)&gt;=B22+1, B22+1, ""))</f>
        <v/>
      </c>
      <c r="D22" s="4" t="str">
        <f t="shared" si="39"/>
        <v/>
      </c>
      <c r="E22" s="4" t="str">
        <f t="shared" si="39"/>
        <v/>
      </c>
      <c r="F22" s="4" t="str">
        <f t="shared" si="39"/>
        <v/>
      </c>
      <c r="G22" s="4" t="str">
        <f t="shared" si="39"/>
        <v/>
      </c>
      <c r="H22" s="4" t="str">
        <f t="shared" si="39"/>
        <v/>
      </c>
      <c r="J22" s="4" t="str">
        <f t="shared" si="29"/>
        <v/>
      </c>
      <c r="K22" s="4" t="str">
        <f t="shared" ref="K22:P22" si="40">IF(J22="","",IF(EOMONTH(J22,0)&gt;=J22+1, J22+1, ""))</f>
        <v/>
      </c>
      <c r="L22" s="4" t="str">
        <f t="shared" si="40"/>
        <v/>
      </c>
      <c r="M22" s="4" t="str">
        <f t="shared" si="40"/>
        <v/>
      </c>
      <c r="N22" s="4" t="str">
        <f t="shared" si="40"/>
        <v/>
      </c>
      <c r="O22" s="4" t="str">
        <f t="shared" si="40"/>
        <v/>
      </c>
      <c r="P22" s="4" t="str">
        <f t="shared" si="40"/>
        <v/>
      </c>
      <c r="R22" s="4" t="str">
        <f t="shared" si="31"/>
        <v/>
      </c>
      <c r="S22" s="4" t="str">
        <f t="shared" ref="S22:X22" si="41">IF(R22="","",IF(EOMONTH(R22,0)&gt;=R22+1, R22+1, ""))</f>
        <v/>
      </c>
      <c r="T22" s="4" t="str">
        <f t="shared" si="41"/>
        <v/>
      </c>
      <c r="U22" s="4" t="str">
        <f t="shared" si="41"/>
        <v/>
      </c>
      <c r="V22" s="4" t="str">
        <f t="shared" si="41"/>
        <v/>
      </c>
      <c r="W22" s="4" t="str">
        <f t="shared" si="41"/>
        <v/>
      </c>
      <c r="X22" s="4" t="str">
        <f t="shared" si="41"/>
        <v/>
      </c>
    </row>
    <row r="24" spans="2:24" x14ac:dyDescent="0.2">
      <c r="B24" s="14">
        <f>EOMONTH(B6,5)+1</f>
        <v>45658</v>
      </c>
      <c r="C24" s="14"/>
      <c r="D24" s="14"/>
      <c r="E24" s="14"/>
      <c r="F24" s="14"/>
      <c r="G24" s="14"/>
      <c r="H24" s="14"/>
      <c r="J24" s="14">
        <f>EOMONTH(B6,6)+1</f>
        <v>45689</v>
      </c>
      <c r="K24" s="14"/>
      <c r="L24" s="14"/>
      <c r="M24" s="14"/>
      <c r="N24" s="14"/>
      <c r="O24" s="14"/>
      <c r="P24" s="14"/>
      <c r="R24" s="14">
        <f>EOMONTH(B6,7)+1</f>
        <v>45717</v>
      </c>
      <c r="S24" s="14"/>
      <c r="T24" s="14"/>
      <c r="U24" s="14"/>
      <c r="V24" s="14"/>
      <c r="W24" s="14"/>
      <c r="X24" s="14"/>
    </row>
    <row r="25" spans="2:24" x14ac:dyDescent="0.2">
      <c r="B25" s="2" t="str">
        <f>Settings!$B$4</f>
        <v>Sun</v>
      </c>
      <c r="C25" s="2" t="str">
        <f>INDEX(Settings!$O$2:$O$15,Settings!$C$4+1)</f>
        <v>Mon</v>
      </c>
      <c r="D25" s="2" t="str">
        <f>INDEX(Settings!$O$2:$O$15,Settings!$C$4+2)</f>
        <v>Tue</v>
      </c>
      <c r="E25" s="2" t="str">
        <f>INDEX(Settings!$O$2:$O$15,Settings!$C$4+3)</f>
        <v>Wed</v>
      </c>
      <c r="F25" s="2" t="str">
        <f>INDEX(Settings!$O$2:$O$15,Settings!$C$4+4)</f>
        <v>Thu</v>
      </c>
      <c r="G25" s="2" t="str">
        <f>INDEX(Settings!$O$2:$O$15,Settings!$C$4+5)</f>
        <v>Fri</v>
      </c>
      <c r="H25" s="2" t="str">
        <f>INDEX(Settings!$O$2:$O$15,Settings!$C$4+6)</f>
        <v>Sat</v>
      </c>
      <c r="J25" s="2" t="str">
        <f>Settings!$B$4</f>
        <v>Sun</v>
      </c>
      <c r="K25" s="2" t="str">
        <f>INDEX(Settings!$O$2:$O$15,Settings!$C$4+1)</f>
        <v>Mon</v>
      </c>
      <c r="L25" s="2" t="str">
        <f>INDEX(Settings!$O$2:$O$15,Settings!$C$4+2)</f>
        <v>Tue</v>
      </c>
      <c r="M25" s="2" t="str">
        <f>INDEX(Settings!$O$2:$O$15,Settings!$C$4+3)</f>
        <v>Wed</v>
      </c>
      <c r="N25" s="2" t="str">
        <f>INDEX(Settings!$O$2:$O$15,Settings!$C$4+4)</f>
        <v>Thu</v>
      </c>
      <c r="O25" s="2" t="str">
        <f>INDEX(Settings!$O$2:$O$15,Settings!$C$4+5)</f>
        <v>Fri</v>
      </c>
      <c r="P25" s="2" t="str">
        <f>INDEX(Settings!$O$2:$O$15,Settings!$C$4+6)</f>
        <v>Sat</v>
      </c>
      <c r="R25" s="2" t="str">
        <f>Settings!$B$4</f>
        <v>Sun</v>
      </c>
      <c r="S25" s="2" t="str">
        <f>INDEX(Settings!$O$2:$O$15,Settings!$C$4+1)</f>
        <v>Mon</v>
      </c>
      <c r="T25" s="2" t="str">
        <f>INDEX(Settings!$O$2:$O$15,Settings!$C$4+2)</f>
        <v>Tue</v>
      </c>
      <c r="U25" s="2" t="str">
        <f>INDEX(Settings!$O$2:$O$15,Settings!$C$4+3)</f>
        <v>Wed</v>
      </c>
      <c r="V25" s="2" t="str">
        <f>INDEX(Settings!$O$2:$O$15,Settings!$C$4+4)</f>
        <v>Thu</v>
      </c>
      <c r="W25" s="2" t="str">
        <f>INDEX(Settings!$O$2:$O$15,Settings!$C$4+5)</f>
        <v>Fri</v>
      </c>
      <c r="X25" s="2" t="str">
        <f>INDEX(Settings!$O$2:$O$15,Settings!$C$4+6)</f>
        <v>Sat</v>
      </c>
    </row>
    <row r="26" spans="2:24" x14ac:dyDescent="0.2">
      <c r="B26" s="4" t="str">
        <f t="shared" ref="B26:H26" si="42">IF(A26="",IF(TEXT($B$24,"DDD")=B$7,$B$24,""),A26+1)</f>
        <v/>
      </c>
      <c r="C26" s="4" t="str">
        <f t="shared" si="42"/>
        <v/>
      </c>
      <c r="D26" s="4" t="str">
        <f t="shared" si="42"/>
        <v/>
      </c>
      <c r="E26" s="4">
        <f t="shared" si="42"/>
        <v>45658</v>
      </c>
      <c r="F26" s="4">
        <f t="shared" si="42"/>
        <v>45659</v>
      </c>
      <c r="G26" s="4">
        <f t="shared" si="42"/>
        <v>45660</v>
      </c>
      <c r="H26" s="4">
        <f t="shared" si="42"/>
        <v>45661</v>
      </c>
      <c r="J26" s="4" t="str">
        <f t="shared" ref="J26:P26" si="43">IF(I26="",IF(TEXT($J$24,"DDD")=J$7,$J$24,""),I26+1)</f>
        <v/>
      </c>
      <c r="K26" s="4" t="str">
        <f t="shared" si="43"/>
        <v/>
      </c>
      <c r="L26" s="4" t="str">
        <f t="shared" si="43"/>
        <v/>
      </c>
      <c r="M26" s="4" t="str">
        <f t="shared" si="43"/>
        <v/>
      </c>
      <c r="N26" s="4" t="str">
        <f t="shared" si="43"/>
        <v/>
      </c>
      <c r="O26" s="4" t="str">
        <f t="shared" si="43"/>
        <v/>
      </c>
      <c r="P26" s="4">
        <f t="shared" si="43"/>
        <v>45689</v>
      </c>
      <c r="R26" s="4" t="str">
        <f t="shared" ref="R26:X26" si="44">IF(Q26="",IF(TEXT($R$24,"DDD")=R$7,$R$24,""),Q26+1)</f>
        <v/>
      </c>
      <c r="S26" s="4" t="str">
        <f t="shared" si="44"/>
        <v/>
      </c>
      <c r="T26" s="4" t="str">
        <f t="shared" si="44"/>
        <v/>
      </c>
      <c r="U26" s="4" t="str">
        <f t="shared" si="44"/>
        <v/>
      </c>
      <c r="V26" s="4" t="str">
        <f t="shared" si="44"/>
        <v/>
      </c>
      <c r="W26" s="4" t="str">
        <f t="shared" si="44"/>
        <v/>
      </c>
      <c r="X26" s="4">
        <f t="shared" si="44"/>
        <v>45717</v>
      </c>
    </row>
    <row r="27" spans="2:24" x14ac:dyDescent="0.2">
      <c r="B27" s="4">
        <f>IF(H26="","",IF(EOMONTH(H26,0)&gt;=H26+1, H26+1, ""))</f>
        <v>45662</v>
      </c>
      <c r="C27" s="4">
        <f>IF(B27="","",IF(EOMONTH(B27,0)&gt;=B27+1, B27+1, ""))</f>
        <v>45663</v>
      </c>
      <c r="D27" s="4">
        <f t="shared" ref="D27:H27" si="45">IF(C27="","",IF(EOMONTH(C27,0)&gt;=C27+1, C27+1, ""))</f>
        <v>45664</v>
      </c>
      <c r="E27" s="4">
        <f t="shared" si="45"/>
        <v>45665</v>
      </c>
      <c r="F27" s="4">
        <f t="shared" si="45"/>
        <v>45666</v>
      </c>
      <c r="G27" s="4">
        <f t="shared" si="45"/>
        <v>45667</v>
      </c>
      <c r="H27" s="4">
        <f t="shared" si="45"/>
        <v>45668</v>
      </c>
      <c r="J27" s="4">
        <f>IF(P26="","",IF(EOMONTH(P26,0)&gt;=P26+1, P26+1, ""))</f>
        <v>45690</v>
      </c>
      <c r="K27" s="4">
        <f>IF(J27="","",IF(EOMONTH(J27,0)&gt;=J27+1, J27+1, ""))</f>
        <v>45691</v>
      </c>
      <c r="L27" s="4">
        <f t="shared" ref="L27:P27" si="46">IF(K27="","",IF(EOMONTH(K27,0)&gt;=K27+1, K27+1, ""))</f>
        <v>45692</v>
      </c>
      <c r="M27" s="4">
        <f t="shared" si="46"/>
        <v>45693</v>
      </c>
      <c r="N27" s="4">
        <f t="shared" si="46"/>
        <v>45694</v>
      </c>
      <c r="O27" s="4">
        <f t="shared" si="46"/>
        <v>45695</v>
      </c>
      <c r="P27" s="4">
        <f t="shared" si="46"/>
        <v>45696</v>
      </c>
      <c r="R27" s="4">
        <f>IF(X26="","",IF(EOMONTH(X26,0)&gt;=X26+1, X26+1, ""))</f>
        <v>45718</v>
      </c>
      <c r="S27" s="4">
        <f>IF(R27="","",IF(EOMONTH(R27,0)&gt;=R27+1, R27+1, ""))</f>
        <v>45719</v>
      </c>
      <c r="T27" s="4">
        <f t="shared" ref="T27:X27" si="47">IF(S27="","",IF(EOMONTH(S27,0)&gt;=S27+1, S27+1, ""))</f>
        <v>45720</v>
      </c>
      <c r="U27" s="4">
        <f t="shared" si="47"/>
        <v>45721</v>
      </c>
      <c r="V27" s="4">
        <f t="shared" si="47"/>
        <v>45722</v>
      </c>
      <c r="W27" s="4">
        <f t="shared" si="47"/>
        <v>45723</v>
      </c>
      <c r="X27" s="4">
        <f t="shared" si="47"/>
        <v>45724</v>
      </c>
    </row>
    <row r="28" spans="2:24" x14ac:dyDescent="0.2">
      <c r="B28" s="4">
        <f t="shared" ref="B28:B31" si="48">IF(H27="","",IF(EOMONTH(H27,0)&gt;=H27+1, H27+1, ""))</f>
        <v>45669</v>
      </c>
      <c r="C28" s="4">
        <f t="shared" ref="C28:H28" si="49">IF(B28="","",IF(EOMONTH(B28,0)&gt;=B28+1, B28+1, ""))</f>
        <v>45670</v>
      </c>
      <c r="D28" s="4">
        <f t="shared" si="49"/>
        <v>45671</v>
      </c>
      <c r="E28" s="4">
        <f t="shared" si="49"/>
        <v>45672</v>
      </c>
      <c r="F28" s="4">
        <f t="shared" si="49"/>
        <v>45673</v>
      </c>
      <c r="G28" s="4">
        <f t="shared" si="49"/>
        <v>45674</v>
      </c>
      <c r="H28" s="4">
        <f t="shared" si="49"/>
        <v>45675</v>
      </c>
      <c r="J28" s="4">
        <f t="shared" ref="J28:J31" si="50">IF(P27="","",IF(EOMONTH(P27,0)&gt;=P27+1, P27+1, ""))</f>
        <v>45697</v>
      </c>
      <c r="K28" s="4">
        <f t="shared" ref="K28:P28" si="51">IF(J28="","",IF(EOMONTH(J28,0)&gt;=J28+1, J28+1, ""))</f>
        <v>45698</v>
      </c>
      <c r="L28" s="4">
        <f t="shared" si="51"/>
        <v>45699</v>
      </c>
      <c r="M28" s="4">
        <f t="shared" si="51"/>
        <v>45700</v>
      </c>
      <c r="N28" s="4">
        <f t="shared" si="51"/>
        <v>45701</v>
      </c>
      <c r="O28" s="4">
        <f t="shared" si="51"/>
        <v>45702</v>
      </c>
      <c r="P28" s="4">
        <f t="shared" si="51"/>
        <v>45703</v>
      </c>
      <c r="R28" s="4">
        <f t="shared" ref="R28:R31" si="52">IF(X27="","",IF(EOMONTH(X27,0)&gt;=X27+1, X27+1, ""))</f>
        <v>45725</v>
      </c>
      <c r="S28" s="4">
        <f t="shared" ref="S28:X28" si="53">IF(R28="","",IF(EOMONTH(R28,0)&gt;=R28+1, R28+1, ""))</f>
        <v>45726</v>
      </c>
      <c r="T28" s="4">
        <f t="shared" si="53"/>
        <v>45727</v>
      </c>
      <c r="U28" s="4">
        <f t="shared" si="53"/>
        <v>45728</v>
      </c>
      <c r="V28" s="4">
        <f t="shared" si="53"/>
        <v>45729</v>
      </c>
      <c r="W28" s="4">
        <f t="shared" si="53"/>
        <v>45730</v>
      </c>
      <c r="X28" s="4">
        <f t="shared" si="53"/>
        <v>45731</v>
      </c>
    </row>
    <row r="29" spans="2:24" x14ac:dyDescent="0.2">
      <c r="B29" s="4">
        <f t="shared" si="48"/>
        <v>45676</v>
      </c>
      <c r="C29" s="4">
        <f t="shared" ref="C29:H29" si="54">IF(B29="","",IF(EOMONTH(B29,0)&gt;=B29+1, B29+1, ""))</f>
        <v>45677</v>
      </c>
      <c r="D29" s="4">
        <f t="shared" si="54"/>
        <v>45678</v>
      </c>
      <c r="E29" s="4">
        <f t="shared" si="54"/>
        <v>45679</v>
      </c>
      <c r="F29" s="4">
        <f t="shared" si="54"/>
        <v>45680</v>
      </c>
      <c r="G29" s="4">
        <f t="shared" si="54"/>
        <v>45681</v>
      </c>
      <c r="H29" s="4">
        <f t="shared" si="54"/>
        <v>45682</v>
      </c>
      <c r="J29" s="4">
        <f t="shared" si="50"/>
        <v>45704</v>
      </c>
      <c r="K29" s="4">
        <f t="shared" ref="K29:P29" si="55">IF(J29="","",IF(EOMONTH(J29,0)&gt;=J29+1, J29+1, ""))</f>
        <v>45705</v>
      </c>
      <c r="L29" s="4">
        <f t="shared" si="55"/>
        <v>45706</v>
      </c>
      <c r="M29" s="4">
        <f t="shared" si="55"/>
        <v>45707</v>
      </c>
      <c r="N29" s="4">
        <f t="shared" si="55"/>
        <v>45708</v>
      </c>
      <c r="O29" s="4">
        <f t="shared" si="55"/>
        <v>45709</v>
      </c>
      <c r="P29" s="4">
        <f t="shared" si="55"/>
        <v>45710</v>
      </c>
      <c r="R29" s="4">
        <f t="shared" si="52"/>
        <v>45732</v>
      </c>
      <c r="S29" s="4">
        <f t="shared" ref="S29:X29" si="56">IF(R29="","",IF(EOMONTH(R29,0)&gt;=R29+1, R29+1, ""))</f>
        <v>45733</v>
      </c>
      <c r="T29" s="4">
        <f t="shared" si="56"/>
        <v>45734</v>
      </c>
      <c r="U29" s="4">
        <f t="shared" si="56"/>
        <v>45735</v>
      </c>
      <c r="V29" s="4">
        <f t="shared" si="56"/>
        <v>45736</v>
      </c>
      <c r="W29" s="4">
        <f t="shared" si="56"/>
        <v>45737</v>
      </c>
      <c r="X29" s="4">
        <f t="shared" si="56"/>
        <v>45738</v>
      </c>
    </row>
    <row r="30" spans="2:24" x14ac:dyDescent="0.2">
      <c r="B30" s="4">
        <f t="shared" si="48"/>
        <v>45683</v>
      </c>
      <c r="C30" s="4">
        <f t="shared" ref="C30:H30" si="57">IF(B30="","",IF(EOMONTH(B30,0)&gt;=B30+1, B30+1, ""))</f>
        <v>45684</v>
      </c>
      <c r="D30" s="4">
        <f t="shared" si="57"/>
        <v>45685</v>
      </c>
      <c r="E30" s="4">
        <f t="shared" si="57"/>
        <v>45686</v>
      </c>
      <c r="F30" s="4">
        <f t="shared" si="57"/>
        <v>45687</v>
      </c>
      <c r="G30" s="4">
        <f t="shared" si="57"/>
        <v>45688</v>
      </c>
      <c r="H30" s="4" t="str">
        <f t="shared" si="57"/>
        <v/>
      </c>
      <c r="J30" s="4">
        <f t="shared" si="50"/>
        <v>45711</v>
      </c>
      <c r="K30" s="4">
        <f t="shared" ref="K30:P30" si="58">IF(J30="","",IF(EOMONTH(J30,0)&gt;=J30+1, J30+1, ""))</f>
        <v>45712</v>
      </c>
      <c r="L30" s="4">
        <f t="shared" si="58"/>
        <v>45713</v>
      </c>
      <c r="M30" s="4">
        <f t="shared" si="58"/>
        <v>45714</v>
      </c>
      <c r="N30" s="4">
        <f t="shared" si="58"/>
        <v>45715</v>
      </c>
      <c r="O30" s="4">
        <f t="shared" si="58"/>
        <v>45716</v>
      </c>
      <c r="P30" s="4" t="str">
        <f t="shared" si="58"/>
        <v/>
      </c>
      <c r="R30" s="4">
        <f t="shared" si="52"/>
        <v>45739</v>
      </c>
      <c r="S30" s="4">
        <f t="shared" ref="S30:X30" si="59">IF(R30="","",IF(EOMONTH(R30,0)&gt;=R30+1, R30+1, ""))</f>
        <v>45740</v>
      </c>
      <c r="T30" s="4">
        <f t="shared" si="59"/>
        <v>45741</v>
      </c>
      <c r="U30" s="4">
        <f t="shared" si="59"/>
        <v>45742</v>
      </c>
      <c r="V30" s="4">
        <f t="shared" si="59"/>
        <v>45743</v>
      </c>
      <c r="W30" s="4">
        <f t="shared" si="59"/>
        <v>45744</v>
      </c>
      <c r="X30" s="4">
        <f t="shared" si="59"/>
        <v>45745</v>
      </c>
    </row>
    <row r="31" spans="2:24" x14ac:dyDescent="0.2">
      <c r="B31" s="4" t="str">
        <f t="shared" si="48"/>
        <v/>
      </c>
      <c r="C31" s="4" t="str">
        <f t="shared" ref="C31:H31" si="60">IF(B31="","",IF(EOMONTH(B31,0)&gt;=B31+1, B31+1, ""))</f>
        <v/>
      </c>
      <c r="D31" s="4" t="str">
        <f t="shared" si="60"/>
        <v/>
      </c>
      <c r="E31" s="4" t="str">
        <f t="shared" si="60"/>
        <v/>
      </c>
      <c r="F31" s="4" t="str">
        <f t="shared" si="60"/>
        <v/>
      </c>
      <c r="G31" s="4" t="str">
        <f t="shared" si="60"/>
        <v/>
      </c>
      <c r="H31" s="4" t="str">
        <f t="shared" si="60"/>
        <v/>
      </c>
      <c r="J31" s="4" t="str">
        <f t="shared" si="50"/>
        <v/>
      </c>
      <c r="K31" s="4" t="str">
        <f t="shared" ref="K31:P31" si="61">IF(J31="","",IF(EOMONTH(J31,0)&gt;=J31+1, J31+1, ""))</f>
        <v/>
      </c>
      <c r="L31" s="4" t="str">
        <f t="shared" si="61"/>
        <v/>
      </c>
      <c r="M31" s="4" t="str">
        <f t="shared" si="61"/>
        <v/>
      </c>
      <c r="N31" s="4" t="str">
        <f t="shared" si="61"/>
        <v/>
      </c>
      <c r="O31" s="4" t="str">
        <f t="shared" si="61"/>
        <v/>
      </c>
      <c r="P31" s="4" t="str">
        <f t="shared" si="61"/>
        <v/>
      </c>
      <c r="R31" s="4">
        <f t="shared" si="52"/>
        <v>45746</v>
      </c>
      <c r="S31" s="4">
        <f t="shared" ref="S31:X31" si="62">IF(R31="","",IF(EOMONTH(R31,0)&gt;=R31+1, R31+1, ""))</f>
        <v>45747</v>
      </c>
      <c r="T31" s="4" t="str">
        <f t="shared" si="62"/>
        <v/>
      </c>
      <c r="U31" s="4" t="str">
        <f t="shared" si="62"/>
        <v/>
      </c>
      <c r="V31" s="4" t="str">
        <f t="shared" si="62"/>
        <v/>
      </c>
      <c r="W31" s="4" t="str">
        <f t="shared" si="62"/>
        <v/>
      </c>
      <c r="X31" s="4" t="str">
        <f t="shared" si="62"/>
        <v/>
      </c>
    </row>
    <row r="33" spans="2:24" x14ac:dyDescent="0.2">
      <c r="B33" s="14">
        <f>EOMONTH(B6,8)+1</f>
        <v>45748</v>
      </c>
      <c r="C33" s="14"/>
      <c r="D33" s="14"/>
      <c r="E33" s="14"/>
      <c r="F33" s="14"/>
      <c r="G33" s="14"/>
      <c r="H33" s="14"/>
      <c r="J33" s="14">
        <f>EOMONTH(B6,9)+1</f>
        <v>45778</v>
      </c>
      <c r="K33" s="14"/>
      <c r="L33" s="14"/>
      <c r="M33" s="14"/>
      <c r="N33" s="14"/>
      <c r="O33" s="14"/>
      <c r="P33" s="14"/>
      <c r="R33" s="14">
        <f>EOMONTH(B6,10)+1</f>
        <v>45809</v>
      </c>
      <c r="S33" s="14"/>
      <c r="T33" s="14"/>
      <c r="U33" s="14"/>
      <c r="V33" s="14"/>
      <c r="W33" s="14"/>
      <c r="X33" s="14"/>
    </row>
    <row r="34" spans="2:24" x14ac:dyDescent="0.2">
      <c r="B34" s="2" t="str">
        <f>Settings!$B$4</f>
        <v>Sun</v>
      </c>
      <c r="C34" s="2" t="str">
        <f>INDEX(Settings!$O$2:$O$15,Settings!$C$4+1)</f>
        <v>Mon</v>
      </c>
      <c r="D34" s="2" t="str">
        <f>INDEX(Settings!$O$2:$O$15,Settings!$C$4+2)</f>
        <v>Tue</v>
      </c>
      <c r="E34" s="2" t="str">
        <f>INDEX(Settings!$O$2:$O$15,Settings!$C$4+3)</f>
        <v>Wed</v>
      </c>
      <c r="F34" s="2" t="str">
        <f>INDEX(Settings!$O$2:$O$15,Settings!$C$4+4)</f>
        <v>Thu</v>
      </c>
      <c r="G34" s="2" t="str">
        <f>INDEX(Settings!$O$2:$O$15,Settings!$C$4+5)</f>
        <v>Fri</v>
      </c>
      <c r="H34" s="2" t="str">
        <f>INDEX(Settings!$O$2:$O$15,Settings!$C$4+6)</f>
        <v>Sat</v>
      </c>
      <c r="J34" s="2" t="str">
        <f>Settings!$B$4</f>
        <v>Sun</v>
      </c>
      <c r="K34" s="2" t="str">
        <f>INDEX(Settings!$O$2:$O$15,Settings!$C$4+1)</f>
        <v>Mon</v>
      </c>
      <c r="L34" s="2" t="str">
        <f>INDEX(Settings!$O$2:$O$15,Settings!$C$4+2)</f>
        <v>Tue</v>
      </c>
      <c r="M34" s="2" t="str">
        <f>INDEX(Settings!$O$2:$O$15,Settings!$C$4+3)</f>
        <v>Wed</v>
      </c>
      <c r="N34" s="2" t="str">
        <f>INDEX(Settings!$O$2:$O$15,Settings!$C$4+4)</f>
        <v>Thu</v>
      </c>
      <c r="O34" s="2" t="str">
        <f>INDEX(Settings!$O$2:$O$15,Settings!$C$4+5)</f>
        <v>Fri</v>
      </c>
      <c r="P34" s="2" t="str">
        <f>INDEX(Settings!$O$2:$O$15,Settings!$C$4+6)</f>
        <v>Sat</v>
      </c>
      <c r="R34" s="2" t="str">
        <f>Settings!$B$4</f>
        <v>Sun</v>
      </c>
      <c r="S34" s="2" t="str">
        <f>INDEX(Settings!$O$2:$O$15,Settings!$C$4+1)</f>
        <v>Mon</v>
      </c>
      <c r="T34" s="2" t="str">
        <f>INDEX(Settings!$O$2:$O$15,Settings!$C$4+2)</f>
        <v>Tue</v>
      </c>
      <c r="U34" s="2" t="str">
        <f>INDEX(Settings!$O$2:$O$15,Settings!$C$4+3)</f>
        <v>Wed</v>
      </c>
      <c r="V34" s="2" t="str">
        <f>INDEX(Settings!$O$2:$O$15,Settings!$C$4+4)</f>
        <v>Thu</v>
      </c>
      <c r="W34" s="2" t="str">
        <f>INDEX(Settings!$O$2:$O$15,Settings!$C$4+5)</f>
        <v>Fri</v>
      </c>
      <c r="X34" s="2" t="str">
        <f>INDEX(Settings!$O$2:$O$15,Settings!$C$4+6)</f>
        <v>Sat</v>
      </c>
    </row>
    <row r="35" spans="2:24" x14ac:dyDescent="0.2">
      <c r="B35" s="4" t="str">
        <f t="shared" ref="B35:H35" si="63">IF(A35="",IF(TEXT($B$33,"DDD")=B$7,$B$33,""),A35+1)</f>
        <v/>
      </c>
      <c r="C35" s="4" t="str">
        <f t="shared" si="63"/>
        <v/>
      </c>
      <c r="D35" s="4">
        <f t="shared" si="63"/>
        <v>45748</v>
      </c>
      <c r="E35" s="4">
        <f t="shared" si="63"/>
        <v>45749</v>
      </c>
      <c r="F35" s="4">
        <f t="shared" si="63"/>
        <v>45750</v>
      </c>
      <c r="G35" s="4">
        <f t="shared" si="63"/>
        <v>45751</v>
      </c>
      <c r="H35" s="4">
        <f t="shared" si="63"/>
        <v>45752</v>
      </c>
      <c r="J35" s="4" t="str">
        <f t="shared" ref="J35:P35" si="64">IF(I35="",IF(TEXT($J$33,"DDD")=J$7,$J$33,""),I35+1)</f>
        <v/>
      </c>
      <c r="K35" s="4" t="str">
        <f t="shared" si="64"/>
        <v/>
      </c>
      <c r="L35" s="4" t="str">
        <f t="shared" si="64"/>
        <v/>
      </c>
      <c r="M35" s="4" t="str">
        <f t="shared" si="64"/>
        <v/>
      </c>
      <c r="N35" s="4">
        <f t="shared" si="64"/>
        <v>45778</v>
      </c>
      <c r="O35" s="4">
        <f t="shared" si="64"/>
        <v>45779</v>
      </c>
      <c r="P35" s="4">
        <f t="shared" si="64"/>
        <v>45780</v>
      </c>
      <c r="R35" s="4">
        <f t="shared" ref="R35:X35" si="65">IF(Q35="",IF(TEXT($R$33,"DDD")=R$7,$R$33,""),Q35+1)</f>
        <v>45809</v>
      </c>
      <c r="S35" s="4">
        <f t="shared" si="65"/>
        <v>45810</v>
      </c>
      <c r="T35" s="4">
        <f t="shared" si="65"/>
        <v>45811</v>
      </c>
      <c r="U35" s="4">
        <f t="shared" si="65"/>
        <v>45812</v>
      </c>
      <c r="V35" s="4">
        <f t="shared" si="65"/>
        <v>45813</v>
      </c>
      <c r="W35" s="4">
        <f t="shared" si="65"/>
        <v>45814</v>
      </c>
      <c r="X35" s="4">
        <f t="shared" si="65"/>
        <v>45815</v>
      </c>
    </row>
    <row r="36" spans="2:24" x14ac:dyDescent="0.2">
      <c r="B36" s="4">
        <f>IF(H35="","",IF(EOMONTH(H35,0)&gt;=H35+1, H35+1, ""))</f>
        <v>45753</v>
      </c>
      <c r="C36" s="4">
        <f>IF(B36="","",IF(EOMONTH(B36,0)&gt;=B36+1, B36+1, ""))</f>
        <v>45754</v>
      </c>
      <c r="D36" s="4">
        <f t="shared" ref="D36:H36" si="66">IF(C36="","",IF(EOMONTH(C36,0)&gt;=C36+1, C36+1, ""))</f>
        <v>45755</v>
      </c>
      <c r="E36" s="4">
        <f t="shared" si="66"/>
        <v>45756</v>
      </c>
      <c r="F36" s="4">
        <f t="shared" si="66"/>
        <v>45757</v>
      </c>
      <c r="G36" s="4">
        <f t="shared" si="66"/>
        <v>45758</v>
      </c>
      <c r="H36" s="4">
        <f t="shared" si="66"/>
        <v>45759</v>
      </c>
      <c r="J36" s="4">
        <f>IF(P35="","",IF(EOMONTH(P35,0)&gt;=P35+1, P35+1, ""))</f>
        <v>45781</v>
      </c>
      <c r="K36" s="4">
        <f>IF(J36="","",IF(EOMONTH(J36,0)&gt;=J36+1, J36+1, ""))</f>
        <v>45782</v>
      </c>
      <c r="L36" s="4">
        <f t="shared" ref="L36:P36" si="67">IF(K36="","",IF(EOMONTH(K36,0)&gt;=K36+1, K36+1, ""))</f>
        <v>45783</v>
      </c>
      <c r="M36" s="4">
        <f t="shared" si="67"/>
        <v>45784</v>
      </c>
      <c r="N36" s="4">
        <f t="shared" si="67"/>
        <v>45785</v>
      </c>
      <c r="O36" s="4">
        <f t="shared" si="67"/>
        <v>45786</v>
      </c>
      <c r="P36" s="4">
        <f t="shared" si="67"/>
        <v>45787</v>
      </c>
      <c r="R36" s="4">
        <f>IF(X35="","",IF(EOMONTH(X35,0)&gt;=X35+1, X35+1, ""))</f>
        <v>45816</v>
      </c>
      <c r="S36" s="4">
        <f>IF(R36="","",IF(EOMONTH(R36,0)&gt;=R36+1, R36+1, ""))</f>
        <v>45817</v>
      </c>
      <c r="T36" s="4">
        <f t="shared" ref="T36:X36" si="68">IF(S36="","",IF(EOMONTH(S36,0)&gt;=S36+1, S36+1, ""))</f>
        <v>45818</v>
      </c>
      <c r="U36" s="4">
        <f t="shared" si="68"/>
        <v>45819</v>
      </c>
      <c r="V36" s="4">
        <f t="shared" si="68"/>
        <v>45820</v>
      </c>
      <c r="W36" s="4">
        <f t="shared" si="68"/>
        <v>45821</v>
      </c>
      <c r="X36" s="4">
        <f t="shared" si="68"/>
        <v>45822</v>
      </c>
    </row>
    <row r="37" spans="2:24" x14ac:dyDescent="0.2">
      <c r="B37" s="4">
        <f t="shared" ref="B37:B40" si="69">IF(H36="","",IF(EOMONTH(H36,0)&gt;=H36+1, H36+1, ""))</f>
        <v>45760</v>
      </c>
      <c r="C37" s="4">
        <f t="shared" ref="C37:H37" si="70">IF(B37="","",IF(EOMONTH(B37,0)&gt;=B37+1, B37+1, ""))</f>
        <v>45761</v>
      </c>
      <c r="D37" s="4">
        <f t="shared" si="70"/>
        <v>45762</v>
      </c>
      <c r="E37" s="4">
        <f t="shared" si="70"/>
        <v>45763</v>
      </c>
      <c r="F37" s="4">
        <f t="shared" si="70"/>
        <v>45764</v>
      </c>
      <c r="G37" s="4">
        <f t="shared" si="70"/>
        <v>45765</v>
      </c>
      <c r="H37" s="4">
        <f t="shared" si="70"/>
        <v>45766</v>
      </c>
      <c r="J37" s="4">
        <f t="shared" ref="J37:J40" si="71">IF(P36="","",IF(EOMONTH(P36,0)&gt;=P36+1, P36+1, ""))</f>
        <v>45788</v>
      </c>
      <c r="K37" s="4">
        <f t="shared" ref="K37:P37" si="72">IF(J37="","",IF(EOMONTH(J37,0)&gt;=J37+1, J37+1, ""))</f>
        <v>45789</v>
      </c>
      <c r="L37" s="4">
        <f t="shared" si="72"/>
        <v>45790</v>
      </c>
      <c r="M37" s="4">
        <f t="shared" si="72"/>
        <v>45791</v>
      </c>
      <c r="N37" s="4">
        <f t="shared" si="72"/>
        <v>45792</v>
      </c>
      <c r="O37" s="4">
        <f t="shared" si="72"/>
        <v>45793</v>
      </c>
      <c r="P37" s="4">
        <f t="shared" si="72"/>
        <v>45794</v>
      </c>
      <c r="R37" s="4">
        <f t="shared" ref="R37:R40" si="73">IF(X36="","",IF(EOMONTH(X36,0)&gt;=X36+1, X36+1, ""))</f>
        <v>45823</v>
      </c>
      <c r="S37" s="4">
        <f t="shared" ref="S37:X37" si="74">IF(R37="","",IF(EOMONTH(R37,0)&gt;=R37+1, R37+1, ""))</f>
        <v>45824</v>
      </c>
      <c r="T37" s="4">
        <f t="shared" si="74"/>
        <v>45825</v>
      </c>
      <c r="U37" s="4">
        <f t="shared" si="74"/>
        <v>45826</v>
      </c>
      <c r="V37" s="4">
        <f t="shared" si="74"/>
        <v>45827</v>
      </c>
      <c r="W37" s="4">
        <f t="shared" si="74"/>
        <v>45828</v>
      </c>
      <c r="X37" s="4">
        <f t="shared" si="74"/>
        <v>45829</v>
      </c>
    </row>
    <row r="38" spans="2:24" x14ac:dyDescent="0.2">
      <c r="B38" s="4">
        <f t="shared" si="69"/>
        <v>45767</v>
      </c>
      <c r="C38" s="4">
        <f t="shared" ref="C38:H38" si="75">IF(B38="","",IF(EOMONTH(B38,0)&gt;=B38+1, B38+1, ""))</f>
        <v>45768</v>
      </c>
      <c r="D38" s="4">
        <f t="shared" si="75"/>
        <v>45769</v>
      </c>
      <c r="E38" s="4">
        <f t="shared" si="75"/>
        <v>45770</v>
      </c>
      <c r="F38" s="4">
        <f t="shared" si="75"/>
        <v>45771</v>
      </c>
      <c r="G38" s="4">
        <f t="shared" si="75"/>
        <v>45772</v>
      </c>
      <c r="H38" s="4">
        <f t="shared" si="75"/>
        <v>45773</v>
      </c>
      <c r="J38" s="4">
        <f t="shared" si="71"/>
        <v>45795</v>
      </c>
      <c r="K38" s="4">
        <f t="shared" ref="K38:P38" si="76">IF(J38="","",IF(EOMONTH(J38,0)&gt;=J38+1, J38+1, ""))</f>
        <v>45796</v>
      </c>
      <c r="L38" s="4">
        <f t="shared" si="76"/>
        <v>45797</v>
      </c>
      <c r="M38" s="4">
        <f t="shared" si="76"/>
        <v>45798</v>
      </c>
      <c r="N38" s="4">
        <f t="shared" si="76"/>
        <v>45799</v>
      </c>
      <c r="O38" s="4">
        <f t="shared" si="76"/>
        <v>45800</v>
      </c>
      <c r="P38" s="4">
        <f t="shared" si="76"/>
        <v>45801</v>
      </c>
      <c r="R38" s="4">
        <f t="shared" si="73"/>
        <v>45830</v>
      </c>
      <c r="S38" s="4">
        <f t="shared" ref="S38:X38" si="77">IF(R38="","",IF(EOMONTH(R38,0)&gt;=R38+1, R38+1, ""))</f>
        <v>45831</v>
      </c>
      <c r="T38" s="4">
        <f t="shared" si="77"/>
        <v>45832</v>
      </c>
      <c r="U38" s="4">
        <f t="shared" si="77"/>
        <v>45833</v>
      </c>
      <c r="V38" s="4">
        <f t="shared" si="77"/>
        <v>45834</v>
      </c>
      <c r="W38" s="4">
        <f t="shared" si="77"/>
        <v>45835</v>
      </c>
      <c r="X38" s="4">
        <f t="shared" si="77"/>
        <v>45836</v>
      </c>
    </row>
    <row r="39" spans="2:24" x14ac:dyDescent="0.2">
      <c r="B39" s="4">
        <f t="shared" si="69"/>
        <v>45774</v>
      </c>
      <c r="C39" s="4">
        <f t="shared" ref="C39:H39" si="78">IF(B39="","",IF(EOMONTH(B39,0)&gt;=B39+1, B39+1, ""))</f>
        <v>45775</v>
      </c>
      <c r="D39" s="4">
        <f t="shared" si="78"/>
        <v>45776</v>
      </c>
      <c r="E39" s="4">
        <f t="shared" si="78"/>
        <v>45777</v>
      </c>
      <c r="F39" s="4" t="str">
        <f t="shared" si="78"/>
        <v/>
      </c>
      <c r="G39" s="4" t="str">
        <f t="shared" si="78"/>
        <v/>
      </c>
      <c r="H39" s="4" t="str">
        <f t="shared" si="78"/>
        <v/>
      </c>
      <c r="J39" s="4">
        <f t="shared" si="71"/>
        <v>45802</v>
      </c>
      <c r="K39" s="4">
        <f t="shared" ref="K39:P39" si="79">IF(J39="","",IF(EOMONTH(J39,0)&gt;=J39+1, J39+1, ""))</f>
        <v>45803</v>
      </c>
      <c r="L39" s="4">
        <f t="shared" si="79"/>
        <v>45804</v>
      </c>
      <c r="M39" s="4">
        <f t="shared" si="79"/>
        <v>45805</v>
      </c>
      <c r="N39" s="4">
        <f t="shared" si="79"/>
        <v>45806</v>
      </c>
      <c r="O39" s="4">
        <f t="shared" si="79"/>
        <v>45807</v>
      </c>
      <c r="P39" s="4">
        <f t="shared" si="79"/>
        <v>45808</v>
      </c>
      <c r="R39" s="4">
        <f t="shared" si="73"/>
        <v>45837</v>
      </c>
      <c r="S39" s="4">
        <f t="shared" ref="S39:X39" si="80">IF(R39="","",IF(EOMONTH(R39,0)&gt;=R39+1, R39+1, ""))</f>
        <v>45838</v>
      </c>
      <c r="T39" s="4" t="str">
        <f t="shared" si="80"/>
        <v/>
      </c>
      <c r="U39" s="4" t="str">
        <f t="shared" si="80"/>
        <v/>
      </c>
      <c r="V39" s="4" t="str">
        <f t="shared" si="80"/>
        <v/>
      </c>
      <c r="W39" s="4" t="str">
        <f t="shared" si="80"/>
        <v/>
      </c>
      <c r="X39" s="4" t="str">
        <f t="shared" si="80"/>
        <v/>
      </c>
    </row>
    <row r="40" spans="2:24" x14ac:dyDescent="0.2">
      <c r="B40" s="4" t="str">
        <f t="shared" si="69"/>
        <v/>
      </c>
      <c r="C40" s="4" t="str">
        <f t="shared" ref="C40:H40" si="81">IF(B40="","",IF(EOMONTH(B40,0)&gt;=B40+1, B40+1, ""))</f>
        <v/>
      </c>
      <c r="D40" s="4" t="str">
        <f t="shared" si="81"/>
        <v/>
      </c>
      <c r="E40" s="4" t="str">
        <f t="shared" si="81"/>
        <v/>
      </c>
      <c r="F40" s="4" t="str">
        <f t="shared" si="81"/>
        <v/>
      </c>
      <c r="G40" s="4" t="str">
        <f t="shared" si="81"/>
        <v/>
      </c>
      <c r="H40" s="4" t="str">
        <f t="shared" si="81"/>
        <v/>
      </c>
      <c r="J40" s="4" t="str">
        <f t="shared" si="71"/>
        <v/>
      </c>
      <c r="K40" s="4" t="str">
        <f t="shared" ref="K40:P40" si="82">IF(J40="","",IF(EOMONTH(J40,0)&gt;=J40+1, J40+1, ""))</f>
        <v/>
      </c>
      <c r="L40" s="4" t="str">
        <f t="shared" si="82"/>
        <v/>
      </c>
      <c r="M40" s="4" t="str">
        <f t="shared" si="82"/>
        <v/>
      </c>
      <c r="N40" s="4" t="str">
        <f t="shared" si="82"/>
        <v/>
      </c>
      <c r="O40" s="4" t="str">
        <f t="shared" si="82"/>
        <v/>
      </c>
      <c r="P40" s="4" t="str">
        <f t="shared" si="82"/>
        <v/>
      </c>
      <c r="R40" s="4" t="str">
        <f t="shared" si="73"/>
        <v/>
      </c>
      <c r="S40" s="4" t="str">
        <f t="shared" ref="S40:X40" si="83">IF(R40="","",IF(EOMONTH(R40,0)&gt;=R40+1, R40+1, ""))</f>
        <v/>
      </c>
      <c r="T40" s="4" t="str">
        <f t="shared" si="83"/>
        <v/>
      </c>
      <c r="U40" s="4" t="str">
        <f t="shared" si="83"/>
        <v/>
      </c>
      <c r="V40" s="4" t="str">
        <f t="shared" si="83"/>
        <v/>
      </c>
      <c r="W40" s="4" t="str">
        <f t="shared" si="83"/>
        <v/>
      </c>
      <c r="X40" s="4" t="str">
        <f t="shared" si="83"/>
        <v/>
      </c>
    </row>
  </sheetData>
  <mergeCells count="13">
    <mergeCell ref="B24:H24"/>
    <mergeCell ref="J24:P24"/>
    <mergeCell ref="R24:X24"/>
    <mergeCell ref="B33:H33"/>
    <mergeCell ref="J33:P33"/>
    <mergeCell ref="R33:X33"/>
    <mergeCell ref="A1:Y4"/>
    <mergeCell ref="B6:H6"/>
    <mergeCell ref="J6:P6"/>
    <mergeCell ref="R6:X6"/>
    <mergeCell ref="B15:H15"/>
    <mergeCell ref="J15:P15"/>
    <mergeCell ref="R15:X15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defaultSize="0" autoFill="0" autoPict="0" altText="Layout Settings">
                <anchor moveWithCells="1">
                  <from>
                    <xdr:col>26</xdr:col>
                    <xdr:colOff>704850</xdr:colOff>
                    <xdr:row>5</xdr:row>
                    <xdr:rowOff>180975</xdr:rowOff>
                  </from>
                  <to>
                    <xdr:col>28</xdr:col>
                    <xdr:colOff>409575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27</xdr:col>
                    <xdr:colOff>19050</xdr:colOff>
                    <xdr:row>7</xdr:row>
                    <xdr:rowOff>161925</xdr:rowOff>
                  </from>
                  <to>
                    <xdr:col>28</xdr:col>
                    <xdr:colOff>276225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27</xdr:col>
                    <xdr:colOff>19050</xdr:colOff>
                    <xdr:row>10</xdr:row>
                    <xdr:rowOff>76200</xdr:rowOff>
                  </from>
                  <to>
                    <xdr:col>28</xdr:col>
                    <xdr:colOff>276225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27</xdr:col>
                    <xdr:colOff>19050</xdr:colOff>
                    <xdr:row>13</xdr:row>
                    <xdr:rowOff>19050</xdr:rowOff>
                  </from>
                  <to>
                    <xdr:col>28</xdr:col>
                    <xdr:colOff>276225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Group Box 5">
              <controlPr defaultSize="0" autoFill="0" autoPict="0">
                <anchor moveWithCells="1">
                  <from>
                    <xdr:col>28</xdr:col>
                    <xdr:colOff>504825</xdr:colOff>
                    <xdr:row>5</xdr:row>
                    <xdr:rowOff>180975</xdr:rowOff>
                  </from>
                  <to>
                    <xdr:col>32</xdr:col>
                    <xdr:colOff>57150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Group Box 6">
              <controlPr defaultSize="0" autoFill="0" autoPict="0">
                <anchor moveWithCells="1">
                  <from>
                    <xdr:col>26</xdr:col>
                    <xdr:colOff>704850</xdr:colOff>
                    <xdr:row>18</xdr:row>
                    <xdr:rowOff>142875</xdr:rowOff>
                  </from>
                  <to>
                    <xdr:col>28</xdr:col>
                    <xdr:colOff>409575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27</xdr:col>
                    <xdr:colOff>19050</xdr:colOff>
                    <xdr:row>14</xdr:row>
                    <xdr:rowOff>152400</xdr:rowOff>
                  </from>
                  <to>
                    <xdr:col>28</xdr:col>
                    <xdr:colOff>228600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27</xdr:col>
                    <xdr:colOff>19050</xdr:colOff>
                    <xdr:row>16</xdr:row>
                    <xdr:rowOff>47625</xdr:rowOff>
                  </from>
                  <to>
                    <xdr:col>28</xdr:col>
                    <xdr:colOff>228600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29</xdr:col>
                    <xdr:colOff>561975</xdr:colOff>
                    <xdr:row>6</xdr:row>
                    <xdr:rowOff>161925</xdr:rowOff>
                  </from>
                  <to>
                    <xdr:col>31</xdr:col>
                    <xdr:colOff>838200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29</xdr:col>
                    <xdr:colOff>561975</xdr:colOff>
                    <xdr:row>8</xdr:row>
                    <xdr:rowOff>66675</xdr:rowOff>
                  </from>
                  <to>
                    <xdr:col>31</xdr:col>
                    <xdr:colOff>838200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29</xdr:col>
                    <xdr:colOff>561975</xdr:colOff>
                    <xdr:row>9</xdr:row>
                    <xdr:rowOff>152400</xdr:rowOff>
                  </from>
                  <to>
                    <xdr:col>31</xdr:col>
                    <xdr:colOff>838200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29</xdr:col>
                    <xdr:colOff>561975</xdr:colOff>
                    <xdr:row>11</xdr:row>
                    <xdr:rowOff>57150</xdr:rowOff>
                  </from>
                  <to>
                    <xdr:col>31</xdr:col>
                    <xdr:colOff>838200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29</xdr:col>
                    <xdr:colOff>561975</xdr:colOff>
                    <xdr:row>12</xdr:row>
                    <xdr:rowOff>142875</xdr:rowOff>
                  </from>
                  <to>
                    <xdr:col>31</xdr:col>
                    <xdr:colOff>838200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29</xdr:col>
                    <xdr:colOff>561975</xdr:colOff>
                    <xdr:row>14</xdr:row>
                    <xdr:rowOff>47625</xdr:rowOff>
                  </from>
                  <to>
                    <xdr:col>31</xdr:col>
                    <xdr:colOff>838200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29</xdr:col>
                    <xdr:colOff>561975</xdr:colOff>
                    <xdr:row>15</xdr:row>
                    <xdr:rowOff>133350</xdr:rowOff>
                  </from>
                  <to>
                    <xdr:col>31</xdr:col>
                    <xdr:colOff>838200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29</xdr:col>
                    <xdr:colOff>561975</xdr:colOff>
                    <xdr:row>17</xdr:row>
                    <xdr:rowOff>38100</xdr:rowOff>
                  </from>
                  <to>
                    <xdr:col>31</xdr:col>
                    <xdr:colOff>838200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29</xdr:col>
                    <xdr:colOff>561975</xdr:colOff>
                    <xdr:row>18</xdr:row>
                    <xdr:rowOff>123825</xdr:rowOff>
                  </from>
                  <to>
                    <xdr:col>31</xdr:col>
                    <xdr:colOff>838200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29</xdr:col>
                    <xdr:colOff>561975</xdr:colOff>
                    <xdr:row>20</xdr:row>
                    <xdr:rowOff>28575</xdr:rowOff>
                  </from>
                  <to>
                    <xdr:col>31</xdr:col>
                    <xdr:colOff>838200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29</xdr:col>
                    <xdr:colOff>561975</xdr:colOff>
                    <xdr:row>21</xdr:row>
                    <xdr:rowOff>114300</xdr:rowOff>
                  </from>
                  <to>
                    <xdr:col>31</xdr:col>
                    <xdr:colOff>838200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29</xdr:col>
                    <xdr:colOff>561975</xdr:colOff>
                    <xdr:row>23</xdr:row>
                    <xdr:rowOff>19050</xdr:rowOff>
                  </from>
                  <to>
                    <xdr:col>31</xdr:col>
                    <xdr:colOff>838200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27</xdr:col>
                    <xdr:colOff>19050</xdr:colOff>
                    <xdr:row>20</xdr:row>
                    <xdr:rowOff>19050</xdr:rowOff>
                  </from>
                  <to>
                    <xdr:col>28</xdr:col>
                    <xdr:colOff>390525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 sizeWithCells="1">
                  <from>
                    <xdr:col>27</xdr:col>
                    <xdr:colOff>19050</xdr:colOff>
                    <xdr:row>21</xdr:row>
                    <xdr:rowOff>95250</xdr:rowOff>
                  </from>
                  <to>
                    <xdr:col>28</xdr:col>
                    <xdr:colOff>400050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 sizeWithCells="1">
                  <from>
                    <xdr:col>27</xdr:col>
                    <xdr:colOff>19050</xdr:colOff>
                    <xdr:row>22</xdr:row>
                    <xdr:rowOff>180975</xdr:rowOff>
                  </from>
                  <to>
                    <xdr:col>28</xdr:col>
                    <xdr:colOff>400050</xdr:colOff>
                    <xdr:row>24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5" id="{D33B3C29-BF66-48DB-8616-EEE64F5D1C52}">
            <xm:f>AND(Settings!$C$22,B8&lt;&gt;"",OR(0&lt;SUMPRODUCT(1*(Settings!$A$22=Events!$D$3:$D$100),1*(B8=Events!$A$3:$A$100)),0&lt;SUMPRODUCT(1*(Settings!$A$22=Events!$D$3:$D$100),1*(B8&gt;=Events!$A$3:$A$100),1*(B8&lt;=Events!$B$3:$B$100))))</xm:f>
            <x14:dxf>
              <font>
                <b/>
                <i val="0"/>
                <color auto="1"/>
              </font>
              <fill>
                <patternFill>
                  <bgColor rgb="FFD5E5EB"/>
                </patternFill>
              </fill>
            </x14:dxf>
          </x14:cfRule>
          <x14:cfRule type="expression" priority="229" id="{D1F67730-1E0B-422A-A362-599AD631F34B}">
            <xm:f>AND(Settings!$C$16,B8&lt;&gt;"",OR(0&lt;SUMPRODUCT(1*(Settings!$A$16=Events!$D$3:$D$100),1*(B8=Events!$A$3:$A$100)),0&lt;SUMPRODUCT(1*(Settings!$A$16=Events!$D$3:$D$100),1*(B8&gt;=Events!$A$3:$A$100),1*(B8&lt;=Events!$B$3:$B$100))))</xm:f>
            <x14:dxf>
              <font>
                <b/>
                <i val="0"/>
                <color theme="0"/>
              </font>
              <fill>
                <patternFill>
                  <bgColor rgb="FF00A9CE"/>
                </patternFill>
              </fill>
            </x14:dxf>
          </x14:cfRule>
          <x14:cfRule type="expression" priority="228" id="{845556BC-DD33-471D-9EE6-F6C955AB386D}">
            <xm:f>AND(Settings!$C$15,B8&lt;&gt;"",OR(0&lt;SUMPRODUCT(1*(Settings!$A$15=Events!$D$3:$D$100),1*(B8=Events!$A$3:$A$100)),0&lt;SUMPRODUCT(1*(Settings!$A$15=Events!$D$3:$D$100),1*(B8&gt;=Events!$A$3:$A$100),1*(B8&lt;=Events!$B$3:$B$100))))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227" id="{58D8B46C-7348-4AFE-B1E6-18DD19C87CB2}">
            <xm:f>AND(B8&lt;&gt;"",MATCH(B8,Events!$B$3:$B$100,0))</xm:f>
            <x14:dxf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226" id="{AE86A5B6-7050-4002-B3F4-6A822220BE08}">
            <xm:f>AND(A7&lt;&gt;"",0&lt;SUMPRODUCT(1*(Events!$A$3:$A$100&lt;A7),1*(Events!$B$3:$B$100&gt;A7)))</xm:f>
            <x14:dxf>
              <border>
                <left/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225" id="{023EE7E5-A7DA-44D5-AE21-236D2A657FCD}">
            <xm:f>AND(B8&lt;&gt;"",SUMPRODUCT(--(B8=Events!$A$3:$A$100),--(Events!$B$3:$B$100&lt;&gt;""))&gt;0)</xm:f>
            <x14:dxf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224" stopIfTrue="1" id="{FA1A06C4-A3FB-492C-8CFB-A574C218D4DB}">
            <xm:f>AND(NOT(Settings!$C$12),B8&lt;&gt;"",OR(0&lt;SUMPRODUCT(1*(Settings!$A$12=Events!$E$3:$E$100),1*(B8=Events!$A$3:$A$100)),0&lt;SUMPRODUCT(1*(Settings!$A$12=Events!$E$3:$E$100),1*(B8&gt;=Events!$A$3:$A$100),1*(B8&lt;=Events!$B$3:$B$100))))</xm:f>
            <x14:dxf/>
          </x14:cfRule>
          <x14:cfRule type="expression" priority="223" stopIfTrue="1" id="{F6597499-1907-45A2-88B4-036CE6D1B11B}">
            <xm:f>AND(NOT(Settings!$C$11),B8&lt;&gt;"",OR(0&lt;SUMPRODUCT(1*(Settings!$A$11=Events!$E$3:$E$100),1*(B8=Events!$A$3:$A$100)),0&lt;SUMPRODUCT(1*(Settings!$A$11=Events!$E$3:$E$100),1*(B8&gt;=Events!$A$3:$A$100),1*(B8&lt;=Events!$B$3:$B$100))))</xm:f>
            <x14:dxf/>
          </x14:cfRule>
          <x14:cfRule type="expression" priority="222" stopIfTrue="1" id="{4A08B01B-CC5D-4CAF-A902-6B3611666D00}">
            <xm:f>AND(NOT(Settings!$C$10),B8&lt;&gt;"",OR(0&lt;SUMPRODUCT(1*(Settings!$A$10=Events!$E$3:$E$100),1*(B8=Events!$A$3:$A$100)),0&lt;SUMPRODUCT(1*(Settings!$A$10=Events!$E$3:$E$100),1*(B8&gt;=Events!$A$3:$A$100),1*(B8&lt;=Events!$B$3:$B$100))))</xm:f>
            <x14:dxf/>
          </x14:cfRule>
          <x14:cfRule type="expression" priority="221" id="{086F63CB-13B8-485C-9281-9BE7B9017D31}">
            <xm:f>AND(Settings!$C$26,B8&lt;&gt;"",OR(0&lt;SUMPRODUCT(1*(Settings!$A$26=Events!$D$3:$D$100),1*(B8=Events!$A$3:$A$100)),0&lt;SUMPRODUCT(1*(Settings!$A$26=Events!$D$3:$D$100),1*(B8&gt;=Events!$A$3:$A$100),1*(B8&lt;=Events!$B$3:$B$100))))</xm:f>
            <x14:dxf>
              <font>
                <b val="0"/>
                <i val="0"/>
                <color theme="0"/>
              </font>
              <fill>
                <patternFill>
                  <bgColor rgb="FF787D81"/>
                </patternFill>
              </fill>
            </x14:dxf>
          </x14:cfRule>
          <x14:cfRule type="expression" priority="239" id="{96FCBF20-0D61-4F04-83F9-35BB5D97CBFD}">
            <xm:f>B$7=Settings!$B$7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238" id="{ADAD45FE-F5E9-4878-8E73-48611288ED29}">
            <xm:f>AND(Settings!$C$25,B8&lt;&gt;"",OR(0&lt;SUMPRODUCT(1*(Settings!$A$25=Events!$D$3:$D$100),1*(B8=Events!$A$3:$A$100)),0&lt;SUMPRODUCT(1*(Settings!$A$25=Events!$D$3:$D$100),1*(B8&gt;=Events!$A$3:$A$100),1*(B8&lt;=Events!$B$3:$B$100))))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237" id="{9EDAB12F-33AD-45FC-8532-7B8652712EE1}">
            <xm:f>AND(Settings!$C$24,B8&lt;&gt;"",OR(0&lt;SUMPRODUCT(1*(Settings!$A$24=Events!$D$3:$D$100),1*(B8=Events!$A$3:$A$100)),0&lt;SUMPRODUCT(1*(Settings!$A$24=Events!$D$3:$D$100),1*(B8&gt;=Events!$A$3:$A$100),1*(B8&lt;=Events!$B$3:$B$100))))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236" id="{5FEADF2E-09DC-4A34-BAF5-36AD024CB15C}">
            <xm:f>AND(Settings!$C$23,B8&lt;&gt;"",OR(0&lt;SUMPRODUCT(1*(Settings!$A$23=Events!$D$3:$D$100),1*(B8=Events!$A$3:$A$100)),0&lt;SUMPRODUCT(1*(Settings!$A$23=Events!$D$3:$D$100),1*(B8&gt;=Events!$A$3:$A$100),1*(B8&lt;=Events!$B$3:$B$100))))</xm:f>
            <x14:dxf>
              <font>
                <b/>
                <i val="0"/>
                <color theme="0"/>
              </font>
              <fill>
                <patternFill>
                  <bgColor rgb="FFC000C2"/>
                </patternFill>
              </fill>
            </x14:dxf>
          </x14:cfRule>
          <x14:cfRule type="expression" priority="234" id="{85F41AA3-FAFF-4C4C-A19B-902C3C9EB1DC}">
            <xm:f>AND(Settings!$C$21,B8&lt;&gt;"",OR(0&lt;SUMPRODUCT(1*(Settings!$A$21=Events!$D$3:$D$100),1*(B8=Events!$A$3:$A$100)),0&lt;SUMPRODUCT(1*(Settings!$A$21=Events!$D$3:$D$100),1*(B8&gt;=Events!$A$3:$A$100),1*(B8&lt;=Events!$B$3:$B$100))))</xm:f>
            <x14:dxf>
              <font>
                <b/>
                <i val="0"/>
                <color theme="0"/>
              </font>
              <fill>
                <patternFill>
                  <bgColor rgb="FF00ADEE"/>
                </patternFill>
              </fill>
            </x14:dxf>
          </x14:cfRule>
          <x14:cfRule type="expression" priority="233" id="{5C056CA2-9A26-4AB3-BF88-652E09675A07}">
            <xm:f>AND(Settings!$C$20,B8&lt;&gt;"",OR(0&lt;SUMPRODUCT(1*(Settings!$A$20=Events!$D$3:$D$100),1*(B8=Events!$A$3:$A$100)),0&lt;SUMPRODUCT(1*(Settings!$A$20=Events!$D$3:$D$100),1*(B8&gt;=Events!$A$3:$A$100),1*(B8&lt;=Events!$B$3:$B$100))))</xm:f>
            <x14:dxf>
              <font>
                <b/>
                <i val="0"/>
                <color theme="0"/>
              </font>
              <fill>
                <patternFill>
                  <bgColor rgb="FFD5B142"/>
                </patternFill>
              </fill>
            </x14:dxf>
          </x14:cfRule>
          <x14:cfRule type="expression" priority="232" id="{F7759363-92A7-483B-A672-889EED454167}">
            <xm:f>AND(Settings!$C$19,B8&lt;&gt;"",OR(0&lt;SUMPRODUCT(1*(Settings!$A$19=Events!$D$3:$D$100),1*(B8=Events!$A$3:$A$100)),0&lt;SUMPRODUCT(1*(Settings!$A$19=Events!$D$3:$D$100),1*(B8&gt;=Events!$A$3:$A$100),1*(B8&lt;=Events!$B$3:$B$100))))</xm:f>
            <x14:dxf>
              <font>
                <b/>
                <i val="0"/>
                <color theme="0"/>
              </font>
              <fill>
                <patternFill>
                  <bgColor rgb="FF02B7A7"/>
                </patternFill>
              </fill>
            </x14:dxf>
          </x14:cfRule>
          <x14:cfRule type="expression" priority="231" id="{B831EAE3-49D5-4109-96FB-A851871192CA}">
            <xm:f>AND(Settings!$C$18,B8&lt;&gt;"",OR(0&lt;SUMPRODUCT(1*(Settings!$A$18=Events!$D$3:$D$100),1*(B8=Events!$A$3:$A$100)),0&lt;SUMPRODUCT(1*(Settings!$A$18=Events!$D$3:$D$100),1*(B8&gt;=Events!$A$3:$A$100),1*(B8&lt;=Events!$B$3:$B$100))))</xm:f>
            <x14:dxf>
              <font>
                <b/>
                <i val="0"/>
                <color theme="0"/>
              </font>
              <fill>
                <patternFill>
                  <bgColor rgb="FF84BD00"/>
                </patternFill>
              </fill>
            </x14:dxf>
          </x14:cfRule>
          <x14:cfRule type="expression" priority="230" id="{C688FDFD-BB2C-4D54-8FB5-E02F6025A9E4}">
            <xm:f>AND(Settings!$C$17,B8&lt;&gt;"",OR(0&lt;SUMPRODUCT(1*(Settings!$A$17=Events!$D$3:$D$100),1*(B8=Events!$A$3:$A$100)),0&lt;SUMPRODUCT(1*(Settings!$A$17=Events!$D$3:$D$100),1*(B8&gt;=Events!$A$3:$A$100),1*(B8&lt;=Events!$B$3:$B$100))))</xm:f>
            <x14:dxf>
              <font>
                <b/>
                <i val="0"/>
                <color theme="0"/>
              </font>
              <fill>
                <patternFill>
                  <bgColor rgb="FF84BD00"/>
                </patternFill>
              </fill>
            </x14:dxf>
          </x14:cfRule>
          <x14:cfRule type="expression" priority="240" id="{02D83523-0386-403B-8AFC-6361EE7D77CC}">
            <xm:f>B$7=Settings!$B$8</xm:f>
            <x14:dxf>
              <fill>
                <patternFill>
                  <bgColor theme="0" tint="-0.14996795556505021"/>
                </patternFill>
              </fill>
            </x14:dxf>
          </x14:cfRule>
          <xm:sqref>B8:H13</xm:sqref>
        </x14:conditionalFormatting>
        <x14:conditionalFormatting xmlns:xm="http://schemas.microsoft.com/office/excel/2006/main">
          <x14:cfRule type="expression" priority="152" id="{C17510FF-A7B7-4A53-864F-6852C6AF825D}">
            <xm:f>AND(Settings!$C$19,B17&lt;&gt;"",OR(0&lt;SUMPRODUCT(1*(Settings!$A$19=Events!$D$3:$D$100),1*(B17=Events!$A$3:$A$100)),0&lt;SUMPRODUCT(1*(Settings!$A$19=Events!$D$3:$D$100),1*(B17&gt;=Events!$A$3:$A$100),1*(B17&lt;=Events!$B$3:$B$100))))</xm:f>
            <x14:dxf>
              <font>
                <b/>
                <i val="0"/>
                <color theme="0"/>
              </font>
              <fill>
                <patternFill>
                  <bgColor rgb="FF02B7A7"/>
                </patternFill>
              </fill>
            </x14:dxf>
          </x14:cfRule>
          <x14:cfRule type="expression" priority="154" id="{AD20DFBE-4118-4E3B-82A9-FAB39CA46EDF}">
            <xm:f>AND(Settings!$C$21,B17&lt;&gt;"",OR(0&lt;SUMPRODUCT(1*(Settings!$A$21=Events!$D$3:$D$100),1*(B17=Events!$A$3:$A$100)),0&lt;SUMPRODUCT(1*(Settings!$A$21=Events!$D$3:$D$100),1*(B17&gt;=Events!$A$3:$A$100),1*(B17&lt;=Events!$B$3:$B$100))))</xm:f>
            <x14:dxf>
              <font>
                <b/>
                <i val="0"/>
                <color theme="0"/>
              </font>
              <fill>
                <patternFill>
                  <bgColor rgb="FF00ADEE"/>
                </patternFill>
              </fill>
            </x14:dxf>
          </x14:cfRule>
          <x14:cfRule type="expression" priority="141" id="{F9253CAD-1C6D-4FD8-9E5B-ED7ED76A113B}">
            <xm:f>AND(Settings!$C$26,B17&lt;&gt;"",OR(0&lt;SUMPRODUCT(1*(Settings!$A$26=Events!$D$3:$D$100),1*(B17=Events!$A$3:$A$100)),0&lt;SUMPRODUCT(1*(Settings!$A$26=Events!$D$3:$D$100),1*(B17&gt;=Events!$A$3:$A$100),1*(B17&lt;=Events!$B$3:$B$100))))</xm:f>
            <x14:dxf>
              <font>
                <b val="0"/>
                <i val="0"/>
                <color theme="0"/>
              </font>
              <fill>
                <patternFill>
                  <bgColor rgb="FF787D81"/>
                </patternFill>
              </fill>
            </x14:dxf>
          </x14:cfRule>
          <x14:cfRule type="expression" priority="155" id="{2546DF08-013C-4AC2-8E61-15168822B130}">
            <xm:f>AND(Settings!$C$22,B17&lt;&gt;"",OR(0&lt;SUMPRODUCT(1*(Settings!$A$22=Events!$D$3:$D$100),1*(B17=Events!$A$3:$A$100)),0&lt;SUMPRODUCT(1*(Settings!$A$22=Events!$D$3:$D$100),1*(B17&gt;=Events!$A$3:$A$100),1*(B17&lt;=Events!$B$3:$B$100))))</xm:f>
            <x14:dxf>
              <font>
                <b/>
                <i val="0"/>
                <color auto="1"/>
              </font>
              <fill>
                <patternFill>
                  <bgColor rgb="FFD5E5EB"/>
                </patternFill>
              </fill>
            </x14:dxf>
          </x14:cfRule>
          <x14:cfRule type="expression" priority="156" id="{877B550C-1C59-4485-9D1D-6CCBE621DF54}">
            <xm:f>AND(Settings!$C$23,B17&lt;&gt;"",OR(0&lt;SUMPRODUCT(1*(Settings!$A$23=Events!$D$3:$D$100),1*(B17=Events!$A$3:$A$100)),0&lt;SUMPRODUCT(1*(Settings!$A$23=Events!$D$3:$D$100),1*(B17&gt;=Events!$A$3:$A$100),1*(B17&lt;=Events!$B$3:$B$100))))</xm:f>
            <x14:dxf>
              <font>
                <b/>
                <i val="0"/>
                <color theme="0"/>
              </font>
              <fill>
                <patternFill>
                  <bgColor rgb="FFC000C2"/>
                </patternFill>
              </fill>
            </x14:dxf>
          </x14:cfRule>
          <x14:cfRule type="expression" priority="157" id="{9522AE59-3BE1-4BD5-AC28-A79A34EE40BB}">
            <xm:f>AND(Settings!$C$24,B17&lt;&gt;"",OR(0&lt;SUMPRODUCT(1*(Settings!$A$24=Events!$D$3:$D$100),1*(B17=Events!$A$3:$A$100)),0&lt;SUMPRODUCT(1*(Settings!$A$24=Events!$D$3:$D$100),1*(B17&gt;=Events!$A$3:$A$100),1*(B17&lt;=Events!$B$3:$B$100))))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158" id="{3D6A07F5-57EB-4F1E-9DAD-D9111576E165}">
            <xm:f>AND(Settings!$C$25,B17&lt;&gt;"",OR(0&lt;SUMPRODUCT(1*(Settings!$A$25=Events!$D$3:$D$100),1*(B17=Events!$A$3:$A$100)),0&lt;SUMPRODUCT(1*(Settings!$A$25=Events!$D$3:$D$100),1*(B17&gt;=Events!$A$3:$A$100),1*(B17&lt;=Events!$B$3:$B$100))))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159" id="{D4FEE620-9038-4F95-9774-5D4D15E8A329}">
            <xm:f>B$7=Settings!$B$7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160" id="{1810D73F-419F-4507-A97F-87EE4B60AB89}">
            <xm:f>B$7=Settings!$B$8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153" id="{AEF2BA9C-0DF8-440A-95D5-F66CB7DF0506}">
            <xm:f>AND(Settings!$C$20,B17&lt;&gt;"",OR(0&lt;SUMPRODUCT(1*(Settings!$A$20=Events!$D$3:$D$100),1*(B17=Events!$A$3:$A$100)),0&lt;SUMPRODUCT(1*(Settings!$A$20=Events!$D$3:$D$100),1*(B17&gt;=Events!$A$3:$A$100),1*(B17&lt;=Events!$B$3:$B$100))))</xm:f>
            <x14:dxf>
              <font>
                <b/>
                <i val="0"/>
                <color theme="0"/>
              </font>
              <fill>
                <patternFill>
                  <bgColor rgb="FFD5B142"/>
                </patternFill>
              </fill>
            </x14:dxf>
          </x14:cfRule>
          <x14:cfRule type="expression" priority="150" id="{FE47B0C5-643E-4D54-8D62-0B57D30D6194}">
            <xm:f>AND(Settings!$C$17,B17&lt;&gt;"",OR(0&lt;SUMPRODUCT(1*(Settings!$A$17=Events!$D$3:$D$100),1*(B17=Events!$A$3:$A$100)),0&lt;SUMPRODUCT(1*(Settings!$A$17=Events!$D$3:$D$100),1*(B17&gt;=Events!$A$3:$A$100),1*(B17&lt;=Events!$B$3:$B$100))))</xm:f>
            <x14:dxf>
              <font>
                <b/>
                <i val="0"/>
                <color theme="0"/>
              </font>
              <fill>
                <patternFill>
                  <bgColor rgb="FF84BD00"/>
                </patternFill>
              </fill>
            </x14:dxf>
          </x14:cfRule>
          <x14:cfRule type="expression" priority="151" id="{4D6FAAB7-16EB-4857-8C95-E2235EC216A0}">
            <xm:f>AND(Settings!$C$18,B17&lt;&gt;"",OR(0&lt;SUMPRODUCT(1*(Settings!$A$18=Events!$D$3:$D$100),1*(B17=Events!$A$3:$A$100)),0&lt;SUMPRODUCT(1*(Settings!$A$18=Events!$D$3:$D$100),1*(B17&gt;=Events!$A$3:$A$100),1*(B17&lt;=Events!$B$3:$B$100))))</xm:f>
            <x14:dxf>
              <font>
                <b/>
                <i val="0"/>
                <color theme="0"/>
              </font>
              <fill>
                <patternFill>
                  <bgColor rgb="FF84BD00"/>
                </patternFill>
              </fill>
            </x14:dxf>
          </x14:cfRule>
          <x14:cfRule type="expression" priority="149" id="{E8E81A23-E355-4047-ADFC-680870E10674}">
            <xm:f>AND(Settings!$C$16,B17&lt;&gt;"",OR(0&lt;SUMPRODUCT(1*(Settings!$A$16=Events!$D$3:$D$100),1*(B17=Events!$A$3:$A$100)),0&lt;SUMPRODUCT(1*(Settings!$A$16=Events!$D$3:$D$100),1*(B17&gt;=Events!$A$3:$A$100),1*(B17&lt;=Events!$B$3:$B$100))))</xm:f>
            <x14:dxf>
              <font>
                <b/>
                <i val="0"/>
                <color theme="0"/>
              </font>
              <fill>
                <patternFill>
                  <bgColor rgb="FF00A9CE"/>
                </patternFill>
              </fill>
            </x14:dxf>
          </x14:cfRule>
          <x14:cfRule type="expression" priority="148" id="{FCBA3047-71A0-4B30-B7F4-E8860970F071}">
            <xm:f>AND(Settings!$C$15,B17&lt;&gt;"",OR(0&lt;SUMPRODUCT(1*(Settings!$A$15=Events!$D$3:$D$100),1*(B17=Events!$A$3:$A$100)),0&lt;SUMPRODUCT(1*(Settings!$A$15=Events!$D$3:$D$100),1*(B17&gt;=Events!$A$3:$A$100),1*(B17&lt;=Events!$B$3:$B$100))))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147" id="{092C171F-22D0-444E-B6CA-55848913E192}">
            <xm:f>AND(B17&lt;&gt;"",MATCH(B17,Events!$B$3:$B$100,0))</xm:f>
            <x14:dxf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146" id="{E51C0941-3900-444C-83A9-F757A62775DD}">
            <xm:f>AND(A16&lt;&gt;"",0&lt;SUMPRODUCT(1*(Events!$A$3:$A$100&lt;A16),1*(Events!$B$3:$B$100&gt;A16)))</xm:f>
            <x14:dxf>
              <border>
                <left/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145" id="{C4FBD585-6FE5-4D30-B564-381E74CD9DF9}">
            <xm:f>AND(B17&lt;&gt;"",SUMPRODUCT(--(B17=Events!$A$3:$A$100),--(Events!$B$3:$B$100&lt;&gt;""))&gt;0)</xm:f>
            <x14:dxf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144" stopIfTrue="1" id="{06366F84-87A9-445D-884A-0BB0AB7CA300}">
            <xm:f>AND(NOT(Settings!$C$12),B17&lt;&gt;"",OR(0&lt;SUMPRODUCT(1*(Settings!$A$12=Events!$E$3:$E$100),1*(B17=Events!$A$3:$A$100)),0&lt;SUMPRODUCT(1*(Settings!$A$12=Events!$E$3:$E$100),1*(B17&gt;=Events!$A$3:$A$100),1*(B17&lt;=Events!$B$3:$B$100))))</xm:f>
            <x14:dxf/>
          </x14:cfRule>
          <x14:cfRule type="expression" priority="143" stopIfTrue="1" id="{21F6E496-1A05-4D6E-AC12-004A856A8398}">
            <xm:f>AND(NOT(Settings!$C$11),B17&lt;&gt;"",OR(0&lt;SUMPRODUCT(1*(Settings!$A$11=Events!$E$3:$E$100),1*(B17=Events!$A$3:$A$100)),0&lt;SUMPRODUCT(1*(Settings!$A$11=Events!$E$3:$E$100),1*(B17&gt;=Events!$A$3:$A$100),1*(B17&lt;=Events!$B$3:$B$100))))</xm:f>
            <x14:dxf/>
          </x14:cfRule>
          <x14:cfRule type="expression" priority="142" stopIfTrue="1" id="{D61F0845-80E0-4E73-AB00-D2AB5F1191FD}">
            <xm:f>AND(NOT(Settings!$C$10),B17&lt;&gt;"",OR(0&lt;SUMPRODUCT(1*(Settings!$A$10=Events!$E$3:$E$100),1*(B17=Events!$A$3:$A$100)),0&lt;SUMPRODUCT(1*(Settings!$A$10=Events!$E$3:$E$100),1*(B17&gt;=Events!$A$3:$A$100),1*(B17&lt;=Events!$B$3:$B$100))))</xm:f>
            <x14:dxf/>
          </x14:cfRule>
          <xm:sqref>B17:H22</xm:sqref>
        </x14:conditionalFormatting>
        <x14:conditionalFormatting xmlns:xm="http://schemas.microsoft.com/office/excel/2006/main">
          <x14:cfRule type="expression" priority="111" id="{302612FF-1507-4279-B1B2-229482EC8518}">
            <xm:f>AND(Settings!$C$18,B26&lt;&gt;"",OR(0&lt;SUMPRODUCT(1*(Settings!$A$18=Events!$D$3:$D$100),1*(B26=Events!$A$3:$A$100)),0&lt;SUMPRODUCT(1*(Settings!$A$18=Events!$D$3:$D$100),1*(B26&gt;=Events!$A$3:$A$100),1*(B26&lt;=Events!$B$3:$B$100))))</xm:f>
            <x14:dxf>
              <font>
                <b/>
                <i val="0"/>
                <color theme="0"/>
              </font>
              <fill>
                <patternFill>
                  <bgColor rgb="FF84BD00"/>
                </patternFill>
              </fill>
            </x14:dxf>
          </x14:cfRule>
          <x14:cfRule type="expression" priority="112" id="{8051B8E0-ACED-4D16-9BEA-EE9887431793}">
            <xm:f>AND(Settings!$C$19,B26&lt;&gt;"",OR(0&lt;SUMPRODUCT(1*(Settings!$A$19=Events!$D$3:$D$100),1*(B26=Events!$A$3:$A$100)),0&lt;SUMPRODUCT(1*(Settings!$A$19=Events!$D$3:$D$100),1*(B26&gt;=Events!$A$3:$A$100),1*(B26&lt;=Events!$B$3:$B$100))))</xm:f>
            <x14:dxf>
              <font>
                <b/>
                <i val="0"/>
                <color theme="0"/>
              </font>
              <fill>
                <patternFill>
                  <bgColor rgb="FF02B7A7"/>
                </patternFill>
              </fill>
            </x14:dxf>
          </x14:cfRule>
          <x14:cfRule type="expression" priority="114" id="{BE9F01CE-0EF2-4081-A6AC-D6B02E60D22A}">
            <xm:f>AND(Settings!$C$21,B26&lt;&gt;"",OR(0&lt;SUMPRODUCT(1*(Settings!$A$21=Events!$D$3:$D$100),1*(B26=Events!$A$3:$A$100)),0&lt;SUMPRODUCT(1*(Settings!$A$21=Events!$D$3:$D$100),1*(B26&gt;=Events!$A$3:$A$100),1*(B26&lt;=Events!$B$3:$B$100))))</xm:f>
            <x14:dxf>
              <font>
                <b/>
                <i val="0"/>
                <color theme="0"/>
              </font>
              <fill>
                <patternFill>
                  <bgColor rgb="FF00ADEE"/>
                </patternFill>
              </fill>
            </x14:dxf>
          </x14:cfRule>
          <x14:cfRule type="expression" priority="115" id="{3ED40D2F-7BC9-46FE-AA1A-F49010AF5BC1}">
            <xm:f>AND(Settings!$C$22,B26&lt;&gt;"",OR(0&lt;SUMPRODUCT(1*(Settings!$A$22=Events!$D$3:$D$100),1*(B26=Events!$A$3:$A$100)),0&lt;SUMPRODUCT(1*(Settings!$A$22=Events!$D$3:$D$100),1*(B26&gt;=Events!$A$3:$A$100),1*(B26&lt;=Events!$B$3:$B$100))))</xm:f>
            <x14:dxf>
              <font>
                <b/>
                <i val="0"/>
                <color auto="1"/>
              </font>
              <fill>
                <patternFill>
                  <bgColor rgb="FFD5E5EB"/>
                </patternFill>
              </fill>
            </x14:dxf>
          </x14:cfRule>
          <x14:cfRule type="expression" priority="116" id="{25700B89-D9DD-4A99-B160-5FA3F057124B}">
            <xm:f>AND(Settings!$C$23,B26&lt;&gt;"",OR(0&lt;SUMPRODUCT(1*(Settings!$A$23=Events!$D$3:$D$100),1*(B26=Events!$A$3:$A$100)),0&lt;SUMPRODUCT(1*(Settings!$A$23=Events!$D$3:$D$100),1*(B26&gt;=Events!$A$3:$A$100),1*(B26&lt;=Events!$B$3:$B$100))))</xm:f>
            <x14:dxf>
              <font>
                <b/>
                <i val="0"/>
                <color theme="0"/>
              </font>
              <fill>
                <patternFill>
                  <bgColor rgb="FFC000C2"/>
                </patternFill>
              </fill>
            </x14:dxf>
          </x14:cfRule>
          <x14:cfRule type="expression" priority="117" id="{6FD42366-FAC5-428A-A006-213DD26DF837}">
            <xm:f>AND(Settings!$C$24,B26&lt;&gt;"",OR(0&lt;SUMPRODUCT(1*(Settings!$A$24=Events!$D$3:$D$100),1*(B26=Events!$A$3:$A$100)),0&lt;SUMPRODUCT(1*(Settings!$A$24=Events!$D$3:$D$100),1*(B26&gt;=Events!$A$3:$A$100),1*(B26&lt;=Events!$B$3:$B$100))))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118" id="{6F791D4E-4A47-4A95-B929-140034690DEC}">
            <xm:f>AND(Settings!$C$25,B26&lt;&gt;"",OR(0&lt;SUMPRODUCT(1*(Settings!$A$25=Events!$D$3:$D$100),1*(B26=Events!$A$3:$A$100)),0&lt;SUMPRODUCT(1*(Settings!$A$25=Events!$D$3:$D$100),1*(B26&gt;=Events!$A$3:$A$100),1*(B26&lt;=Events!$B$3:$B$100))))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119" id="{F335EFEE-B8EC-47C8-BCDB-923CCD2B7126}">
            <xm:f>B$7=Settings!$B$7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120" id="{C2533C94-7626-456B-9CA2-735776BCCFFD}">
            <xm:f>B$7=Settings!$B$8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113" id="{837B9DAC-CDF4-42C3-8757-8AC5D7C86E8F}">
            <xm:f>AND(Settings!$C$20,B26&lt;&gt;"",OR(0&lt;SUMPRODUCT(1*(Settings!$A$20=Events!$D$3:$D$100),1*(B26=Events!$A$3:$A$100)),0&lt;SUMPRODUCT(1*(Settings!$A$20=Events!$D$3:$D$100),1*(B26&gt;=Events!$A$3:$A$100),1*(B26&lt;=Events!$B$3:$B$100))))</xm:f>
            <x14:dxf>
              <font>
                <b/>
                <i val="0"/>
                <color theme="0"/>
              </font>
              <fill>
                <patternFill>
                  <bgColor rgb="FFD5B142"/>
                </patternFill>
              </fill>
            </x14:dxf>
          </x14:cfRule>
          <x14:cfRule type="expression" priority="101" id="{DF6AE2B6-670E-4D7C-8017-676971C46387}">
            <xm:f>AND(Settings!$C$26,B26&lt;&gt;"",OR(0&lt;SUMPRODUCT(1*(Settings!$A$26=Events!$D$3:$D$100),1*(B26=Events!$A$3:$A$100)),0&lt;SUMPRODUCT(1*(Settings!$A$26=Events!$D$3:$D$100),1*(B26&gt;=Events!$A$3:$A$100),1*(B26&lt;=Events!$B$3:$B$100))))</xm:f>
            <x14:dxf>
              <font>
                <b val="0"/>
                <i val="0"/>
                <color theme="0"/>
              </font>
              <fill>
                <patternFill>
                  <bgColor rgb="FF787D81"/>
                </patternFill>
              </fill>
            </x14:dxf>
          </x14:cfRule>
          <x14:cfRule type="expression" priority="102" stopIfTrue="1" id="{77E885ED-515F-4D88-BB94-4E8F22F0BEC4}">
            <xm:f>AND(NOT(Settings!$C$10),B26&lt;&gt;"",OR(0&lt;SUMPRODUCT(1*(Settings!$A$10=Events!$E$3:$E$100),1*(B26=Events!$A$3:$A$100)),0&lt;SUMPRODUCT(1*(Settings!$A$10=Events!$E$3:$E$100),1*(B26&gt;=Events!$A$3:$A$100),1*(B26&lt;=Events!$B$3:$B$100))))</xm:f>
            <x14:dxf/>
          </x14:cfRule>
          <x14:cfRule type="expression" priority="103" stopIfTrue="1" id="{4CE1DBC7-C749-41F3-A599-1F75E8B57B54}">
            <xm:f>AND(NOT(Settings!$C$11),B26&lt;&gt;"",OR(0&lt;SUMPRODUCT(1*(Settings!$A$11=Events!$E$3:$E$100),1*(B26=Events!$A$3:$A$100)),0&lt;SUMPRODUCT(1*(Settings!$A$11=Events!$E$3:$E$100),1*(B26&gt;=Events!$A$3:$A$100),1*(B26&lt;=Events!$B$3:$B$100))))</xm:f>
            <x14:dxf/>
          </x14:cfRule>
          <x14:cfRule type="expression" priority="104" stopIfTrue="1" id="{366101DD-FBB1-4546-8176-9D9A76D7D852}">
            <xm:f>AND(NOT(Settings!$C$12),B26&lt;&gt;"",OR(0&lt;SUMPRODUCT(1*(Settings!$A$12=Events!$E$3:$E$100),1*(B26=Events!$A$3:$A$100)),0&lt;SUMPRODUCT(1*(Settings!$A$12=Events!$E$3:$E$100),1*(B26&gt;=Events!$A$3:$A$100),1*(B26&lt;=Events!$B$3:$B$100))))</xm:f>
            <x14:dxf/>
          </x14:cfRule>
          <x14:cfRule type="expression" priority="105" id="{D0A83E7B-909F-4F39-90FA-D2014CE5AA9C}">
            <xm:f>AND(B26&lt;&gt;"",SUMPRODUCT(--(B26=Events!$A$3:$A$100),--(Events!$B$3:$B$100&lt;&gt;""))&gt;0)</xm:f>
            <x14:dxf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106" id="{CE362685-B19D-4D6D-9987-41E0AD3C1EE5}">
            <xm:f>AND(A25&lt;&gt;"",0&lt;SUMPRODUCT(1*(Events!$A$3:$A$100&lt;A25),1*(Events!$B$3:$B$100&gt;A25)))</xm:f>
            <x14:dxf>
              <border>
                <left/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107" id="{3373C0C4-F481-4541-A0B9-016A979187AA}">
            <xm:f>AND(B26&lt;&gt;"",MATCH(B26,Events!$B$3:$B$100,0))</xm:f>
            <x14:dxf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108" id="{40479552-FF02-4EDB-BFE8-0FB32BEBDD94}">
            <xm:f>AND(Settings!$C$15,B26&lt;&gt;"",OR(0&lt;SUMPRODUCT(1*(Settings!$A$15=Events!$D$3:$D$100),1*(B26=Events!$A$3:$A$100)),0&lt;SUMPRODUCT(1*(Settings!$A$15=Events!$D$3:$D$100),1*(B26&gt;=Events!$A$3:$A$100),1*(B26&lt;=Events!$B$3:$B$100))))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109" id="{7EB96322-06E9-4710-97FE-D15610010FF8}">
            <xm:f>AND(Settings!$C$16,B26&lt;&gt;"",OR(0&lt;SUMPRODUCT(1*(Settings!$A$16=Events!$D$3:$D$100),1*(B26=Events!$A$3:$A$100)),0&lt;SUMPRODUCT(1*(Settings!$A$16=Events!$D$3:$D$100),1*(B26&gt;=Events!$A$3:$A$100),1*(B26&lt;=Events!$B$3:$B$100))))</xm:f>
            <x14:dxf>
              <font>
                <b/>
                <i val="0"/>
                <color theme="0"/>
              </font>
              <fill>
                <patternFill>
                  <bgColor rgb="FF00A9CE"/>
                </patternFill>
              </fill>
            </x14:dxf>
          </x14:cfRule>
          <x14:cfRule type="expression" priority="110" id="{0D19016F-5087-4228-BB2F-DF1590F283F6}">
            <xm:f>AND(Settings!$C$17,B26&lt;&gt;"",OR(0&lt;SUMPRODUCT(1*(Settings!$A$17=Events!$D$3:$D$100),1*(B26=Events!$A$3:$A$100)),0&lt;SUMPRODUCT(1*(Settings!$A$17=Events!$D$3:$D$100),1*(B26&gt;=Events!$A$3:$A$100),1*(B26&lt;=Events!$B$3:$B$100))))</xm:f>
            <x14:dxf>
              <font>
                <b/>
                <i val="0"/>
                <color theme="0"/>
              </font>
              <fill>
                <patternFill>
                  <bgColor rgb="FF84BD00"/>
                </patternFill>
              </fill>
            </x14:dxf>
          </x14:cfRule>
          <xm:sqref>B26:H31</xm:sqref>
        </x14:conditionalFormatting>
        <x14:conditionalFormatting xmlns:xm="http://schemas.microsoft.com/office/excel/2006/main">
          <x14:cfRule type="expression" priority="48" id="{F50A3B18-90D7-4CFF-879F-5C4FAB88A918}">
            <xm:f>AND(Settings!$C$15,B35&lt;&gt;"",OR(0&lt;SUMPRODUCT(1*(Settings!$A$15=Events!$D$3:$D$100),1*(B35=Events!$A$3:$A$100)),0&lt;SUMPRODUCT(1*(Settings!$A$15=Events!$D$3:$D$100),1*(B35&gt;=Events!$A$3:$A$100),1*(B35&lt;=Events!$B$3:$B$100))))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50" id="{B999BCCE-3AA8-4542-A1A8-FD3E5021D5E6}">
            <xm:f>AND(Settings!$C$17,B35&lt;&gt;"",OR(0&lt;SUMPRODUCT(1*(Settings!$A$17=Events!$D$3:$D$100),1*(B35=Events!$A$3:$A$100)),0&lt;SUMPRODUCT(1*(Settings!$A$17=Events!$D$3:$D$100),1*(B35&gt;=Events!$A$3:$A$100),1*(B35&lt;=Events!$B$3:$B$100))))</xm:f>
            <x14:dxf>
              <font>
                <b/>
                <i val="0"/>
                <color theme="0"/>
              </font>
              <fill>
                <patternFill>
                  <bgColor rgb="FF84BD00"/>
                </patternFill>
              </fill>
            </x14:dxf>
          </x14:cfRule>
          <x14:cfRule type="expression" priority="49" id="{5DF805F2-311B-49F3-86A6-62121DF48F2C}">
            <xm:f>AND(Settings!$C$16,B35&lt;&gt;"",OR(0&lt;SUMPRODUCT(1*(Settings!$A$16=Events!$D$3:$D$100),1*(B35=Events!$A$3:$A$100)),0&lt;SUMPRODUCT(1*(Settings!$A$16=Events!$D$3:$D$100),1*(B35&gt;=Events!$A$3:$A$100),1*(B35&lt;=Events!$B$3:$B$100))))</xm:f>
            <x14:dxf>
              <font>
                <b/>
                <i val="0"/>
                <color theme="0"/>
              </font>
              <fill>
                <patternFill>
                  <bgColor rgb="FF00A9CE"/>
                </patternFill>
              </fill>
            </x14:dxf>
          </x14:cfRule>
          <x14:cfRule type="expression" priority="47" id="{6298FA42-F342-45F2-A00E-C97FAD98479A}">
            <xm:f>AND(B35&lt;&gt;"",MATCH(B35,Events!$B$3:$B$100,0))</xm:f>
            <x14:dxf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46" id="{72245C06-6EC2-482B-9667-5CF1659EFB8E}">
            <xm:f>AND(A34&lt;&gt;"",0&lt;SUMPRODUCT(1*(Events!$A$3:$A$100&lt;A34),1*(Events!$B$3:$B$100&gt;A34)))</xm:f>
            <x14:dxf>
              <border>
                <left/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45" id="{23BF4365-8CAF-43B2-9BD9-D5E1A4A8CA3F}">
            <xm:f>AND(B35&lt;&gt;"",SUMPRODUCT(--(B35=Events!$A$3:$A$100),--(Events!$B$3:$B$100&lt;&gt;""))&gt;0)</xm:f>
            <x14:dxf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44" stopIfTrue="1" id="{A290ADC0-B74E-49A3-8CCD-77A8C08A7A72}">
            <xm:f>AND(NOT(Settings!$C$12),B35&lt;&gt;"",OR(0&lt;SUMPRODUCT(1*(Settings!$A$12=Events!$E$3:$E$100),1*(B35=Events!$A$3:$A$100)),0&lt;SUMPRODUCT(1*(Settings!$A$12=Events!$E$3:$E$100),1*(B35&gt;=Events!$A$3:$A$100),1*(B35&lt;=Events!$B$3:$B$100))))</xm:f>
            <x14:dxf/>
          </x14:cfRule>
          <x14:cfRule type="expression" priority="43" stopIfTrue="1" id="{6A818DB5-CE7C-4C78-9695-F0415602C062}">
            <xm:f>AND(NOT(Settings!$C$11),B35&lt;&gt;"",OR(0&lt;SUMPRODUCT(1*(Settings!$A$11=Events!$E$3:$E$100),1*(B35=Events!$A$3:$A$100)),0&lt;SUMPRODUCT(1*(Settings!$A$11=Events!$E$3:$E$100),1*(B35&gt;=Events!$A$3:$A$100),1*(B35&lt;=Events!$B$3:$B$100))))</xm:f>
            <x14:dxf/>
          </x14:cfRule>
          <x14:cfRule type="expression" priority="42" stopIfTrue="1" id="{B9794872-31FE-4C6A-A196-8C1F946AFC69}">
            <xm:f>AND(NOT(Settings!$C$10),B35&lt;&gt;"",OR(0&lt;SUMPRODUCT(1*(Settings!$A$10=Events!$E$3:$E$100),1*(B35=Events!$A$3:$A$100)),0&lt;SUMPRODUCT(1*(Settings!$A$10=Events!$E$3:$E$100),1*(B35&gt;=Events!$A$3:$A$100),1*(B35&lt;=Events!$B$3:$B$100))))</xm:f>
            <x14:dxf/>
          </x14:cfRule>
          <x14:cfRule type="expression" priority="51" id="{073A8BF6-89AD-410E-960E-67D0649C40D0}">
            <xm:f>AND(Settings!$C$18,B35&lt;&gt;"",OR(0&lt;SUMPRODUCT(1*(Settings!$A$18=Events!$D$3:$D$100),1*(B35=Events!$A$3:$A$100)),0&lt;SUMPRODUCT(1*(Settings!$A$18=Events!$D$3:$D$100),1*(B35&gt;=Events!$A$3:$A$100),1*(B35&lt;=Events!$B$3:$B$100))))</xm:f>
            <x14:dxf>
              <font>
                <b/>
                <i val="0"/>
                <color theme="0"/>
              </font>
              <fill>
                <patternFill>
                  <bgColor rgb="FF84BD00"/>
                </patternFill>
              </fill>
            </x14:dxf>
          </x14:cfRule>
          <x14:cfRule type="expression" priority="41" id="{BBBFCF89-8FC2-475E-A9B6-5515EB659F85}">
            <xm:f>AND(Settings!$C$26,B35&lt;&gt;"",OR(0&lt;SUMPRODUCT(1*(Settings!$A$26=Events!$D$3:$D$100),1*(B35=Events!$A$3:$A$100)),0&lt;SUMPRODUCT(1*(Settings!$A$26=Events!$D$3:$D$100),1*(B35&gt;=Events!$A$3:$A$100),1*(B35&lt;=Events!$B$3:$B$100))))</xm:f>
            <x14:dxf>
              <font>
                <b val="0"/>
                <i val="0"/>
                <color theme="0"/>
              </font>
              <fill>
                <patternFill>
                  <bgColor rgb="FF787D81"/>
                </patternFill>
              </fill>
            </x14:dxf>
          </x14:cfRule>
          <x14:cfRule type="expression" priority="52" id="{6C3E324C-05DD-457B-93C0-9B6C5293ACDA}">
            <xm:f>AND(Settings!$C$19,B35&lt;&gt;"",OR(0&lt;SUMPRODUCT(1*(Settings!$A$19=Events!$D$3:$D$100),1*(B35=Events!$A$3:$A$100)),0&lt;SUMPRODUCT(1*(Settings!$A$19=Events!$D$3:$D$100),1*(B35&gt;=Events!$A$3:$A$100),1*(B35&lt;=Events!$B$3:$B$100))))</xm:f>
            <x14:dxf>
              <font>
                <b/>
                <i val="0"/>
                <color theme="0"/>
              </font>
              <fill>
                <patternFill>
                  <bgColor rgb="FF02B7A7"/>
                </patternFill>
              </fill>
            </x14:dxf>
          </x14:cfRule>
          <x14:cfRule type="expression" priority="53" id="{8921F270-8940-421A-AF82-1E862347CC99}">
            <xm:f>AND(Settings!$C$20,B35&lt;&gt;"",OR(0&lt;SUMPRODUCT(1*(Settings!$A$20=Events!$D$3:$D$100),1*(B35=Events!$A$3:$A$100)),0&lt;SUMPRODUCT(1*(Settings!$A$20=Events!$D$3:$D$100),1*(B35&gt;=Events!$A$3:$A$100),1*(B35&lt;=Events!$B$3:$B$100))))</xm:f>
            <x14:dxf>
              <font>
                <b/>
                <i val="0"/>
                <color theme="0"/>
              </font>
              <fill>
                <patternFill>
                  <bgColor rgb="FFD5B142"/>
                </patternFill>
              </fill>
            </x14:dxf>
          </x14:cfRule>
          <x14:cfRule type="expression" priority="54" id="{E0625E86-9215-4E1F-94D0-05FFC1187AEE}">
            <xm:f>AND(Settings!$C$21,B35&lt;&gt;"",OR(0&lt;SUMPRODUCT(1*(Settings!$A$21=Events!$D$3:$D$100),1*(B35=Events!$A$3:$A$100)),0&lt;SUMPRODUCT(1*(Settings!$A$21=Events!$D$3:$D$100),1*(B35&gt;=Events!$A$3:$A$100),1*(B35&lt;=Events!$B$3:$B$100))))</xm:f>
            <x14:dxf>
              <font>
                <b/>
                <i val="0"/>
                <color theme="0"/>
              </font>
              <fill>
                <patternFill>
                  <bgColor rgb="FF00ADEE"/>
                </patternFill>
              </fill>
            </x14:dxf>
          </x14:cfRule>
          <x14:cfRule type="expression" priority="55" id="{C6BF4381-2893-4FDA-AD63-D602141A32D4}">
            <xm:f>AND(Settings!$C$22,B35&lt;&gt;"",OR(0&lt;SUMPRODUCT(1*(Settings!$A$22=Events!$D$3:$D$100),1*(B35=Events!$A$3:$A$100)),0&lt;SUMPRODUCT(1*(Settings!$A$22=Events!$D$3:$D$100),1*(B35&gt;=Events!$A$3:$A$100),1*(B35&lt;=Events!$B$3:$B$100))))</xm:f>
            <x14:dxf>
              <font>
                <b/>
                <i val="0"/>
                <color auto="1"/>
              </font>
              <fill>
                <patternFill>
                  <bgColor rgb="FFD5E5EB"/>
                </patternFill>
              </fill>
            </x14:dxf>
          </x14:cfRule>
          <x14:cfRule type="expression" priority="56" id="{485A83E7-E27C-442F-948F-E549B3AA4FA7}">
            <xm:f>AND(Settings!$C$23,B35&lt;&gt;"",OR(0&lt;SUMPRODUCT(1*(Settings!$A$23=Events!$D$3:$D$100),1*(B35=Events!$A$3:$A$100)),0&lt;SUMPRODUCT(1*(Settings!$A$23=Events!$D$3:$D$100),1*(B35&gt;=Events!$A$3:$A$100),1*(B35&lt;=Events!$B$3:$B$100))))</xm:f>
            <x14:dxf>
              <font>
                <b/>
                <i val="0"/>
                <color theme="0"/>
              </font>
              <fill>
                <patternFill>
                  <bgColor rgb="FFC000C2"/>
                </patternFill>
              </fill>
            </x14:dxf>
          </x14:cfRule>
          <x14:cfRule type="expression" priority="57" id="{9349703E-77F4-4904-A987-EA107A30F3D1}">
            <xm:f>AND(Settings!$C$24,B35&lt;&gt;"",OR(0&lt;SUMPRODUCT(1*(Settings!$A$24=Events!$D$3:$D$100),1*(B35=Events!$A$3:$A$100)),0&lt;SUMPRODUCT(1*(Settings!$A$24=Events!$D$3:$D$100),1*(B35&gt;=Events!$A$3:$A$100),1*(B35&lt;=Events!$B$3:$B$100))))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58" id="{AF670DF7-AD97-4D9C-BF0B-C264914F7C42}">
            <xm:f>AND(Settings!$C$25,B35&lt;&gt;"",OR(0&lt;SUMPRODUCT(1*(Settings!$A$25=Events!$D$3:$D$100),1*(B35=Events!$A$3:$A$100)),0&lt;SUMPRODUCT(1*(Settings!$A$25=Events!$D$3:$D$100),1*(B35&gt;=Events!$A$3:$A$100),1*(B35&lt;=Events!$B$3:$B$100))))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59" id="{920E7A81-B8D7-4FD4-8CEE-B5E9E5FF8C1A}">
            <xm:f>B$7=Settings!$B$7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60" id="{2B3FEA2C-D498-404D-B9D7-03DA83A30775}">
            <xm:f>B$7=Settings!$B$8</xm:f>
            <x14:dxf>
              <fill>
                <patternFill>
                  <bgColor theme="0" tint="-0.14996795556505021"/>
                </patternFill>
              </fill>
            </x14:dxf>
          </x14:cfRule>
          <xm:sqref>B35:H40</xm:sqref>
        </x14:conditionalFormatting>
        <x14:conditionalFormatting xmlns:xm="http://schemas.microsoft.com/office/excel/2006/main">
          <x14:cfRule type="expression" priority="220" id="{B19D7A34-563C-46E1-9E0E-17F93B012B9A}">
            <xm:f>J$7=Settings!$B$8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219" id="{49059BB7-8C0D-4CE0-9260-50C7869B3DD6}">
            <xm:f>J$7=Settings!$B$7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218" id="{C597F93E-FB5A-4C98-85B0-9D82EFD37A7F}">
            <xm:f>AND(Settings!$C$25,J8&lt;&gt;"",OR(0&lt;SUMPRODUCT(1*(Settings!$A$25=Events!$D$3:$D$100),1*(J8=Events!$A$3:$A$100)),0&lt;SUMPRODUCT(1*(Settings!$A$25=Events!$D$3:$D$100),1*(J8&gt;=Events!$A$3:$A$100),1*(J8&lt;=Events!$B$3:$B$100))))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217" id="{30881B81-8285-4A49-A2EF-86E70AABC434}">
            <xm:f>AND(Settings!$C$24,J8&lt;&gt;"",OR(0&lt;SUMPRODUCT(1*(Settings!$A$24=Events!$D$3:$D$100),1*(J8=Events!$A$3:$A$100)),0&lt;SUMPRODUCT(1*(Settings!$A$24=Events!$D$3:$D$100),1*(J8&gt;=Events!$A$3:$A$100),1*(J8&lt;=Events!$B$3:$B$100))))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216" id="{B78F50F5-0BAD-4260-8DD8-B899E0AC37CD}">
            <xm:f>AND(Settings!$C$23,J8&lt;&gt;"",OR(0&lt;SUMPRODUCT(1*(Settings!$A$23=Events!$D$3:$D$100),1*(J8=Events!$A$3:$A$100)),0&lt;SUMPRODUCT(1*(Settings!$A$23=Events!$D$3:$D$100),1*(J8&gt;=Events!$A$3:$A$100),1*(J8&lt;=Events!$B$3:$B$100))))</xm:f>
            <x14:dxf>
              <font>
                <b/>
                <i val="0"/>
                <color theme="0"/>
              </font>
              <fill>
                <patternFill>
                  <bgColor rgb="FFC000C2"/>
                </patternFill>
              </fill>
            </x14:dxf>
          </x14:cfRule>
          <x14:cfRule type="expression" priority="215" id="{BB614A41-90B3-4E0E-8826-4ADB1B510369}">
            <xm:f>AND(Settings!$C$22,J8&lt;&gt;"",OR(0&lt;SUMPRODUCT(1*(Settings!$A$22=Events!$D$3:$D$100),1*(J8=Events!$A$3:$A$100)),0&lt;SUMPRODUCT(1*(Settings!$A$22=Events!$D$3:$D$100),1*(J8&gt;=Events!$A$3:$A$100),1*(J8&lt;=Events!$B$3:$B$100))))</xm:f>
            <x14:dxf>
              <font>
                <b/>
                <i val="0"/>
                <color auto="1"/>
              </font>
              <fill>
                <patternFill>
                  <bgColor rgb="FFD5E5EB"/>
                </patternFill>
              </fill>
            </x14:dxf>
          </x14:cfRule>
          <x14:cfRule type="expression" priority="214" id="{677A1915-FFA4-4CED-85B6-FA32C2A23B5F}">
            <xm:f>AND(Settings!$C$21,J8&lt;&gt;"",OR(0&lt;SUMPRODUCT(1*(Settings!$A$21=Events!$D$3:$D$100),1*(J8=Events!$A$3:$A$100)),0&lt;SUMPRODUCT(1*(Settings!$A$21=Events!$D$3:$D$100),1*(J8&gt;=Events!$A$3:$A$100),1*(J8&lt;=Events!$B$3:$B$100))))</xm:f>
            <x14:dxf>
              <font>
                <b/>
                <i val="0"/>
                <color theme="0"/>
              </font>
              <fill>
                <patternFill>
                  <bgColor rgb="FF00ADEE"/>
                </patternFill>
              </fill>
            </x14:dxf>
          </x14:cfRule>
          <x14:cfRule type="expression" priority="213" id="{47C0F9FF-7D1A-447F-9DAB-C45A5965E9D0}">
            <xm:f>AND(Settings!$C$20,J8&lt;&gt;"",OR(0&lt;SUMPRODUCT(1*(Settings!$A$20=Events!$D$3:$D$100),1*(J8=Events!$A$3:$A$100)),0&lt;SUMPRODUCT(1*(Settings!$A$20=Events!$D$3:$D$100),1*(J8&gt;=Events!$A$3:$A$100),1*(J8&lt;=Events!$B$3:$B$100))))</xm:f>
            <x14:dxf>
              <font>
                <b/>
                <i val="0"/>
                <color theme="0"/>
              </font>
              <fill>
                <patternFill>
                  <bgColor rgb="FFD5B142"/>
                </patternFill>
              </fill>
            </x14:dxf>
          </x14:cfRule>
          <x14:cfRule type="expression" priority="212" id="{3EB09585-6399-4707-86A4-56E8498C398F}">
            <xm:f>AND(Settings!$C$19,J8&lt;&gt;"",OR(0&lt;SUMPRODUCT(1*(Settings!$A$19=Events!$D$3:$D$100),1*(J8=Events!$A$3:$A$100)),0&lt;SUMPRODUCT(1*(Settings!$A$19=Events!$D$3:$D$100),1*(J8&gt;=Events!$A$3:$A$100),1*(J8&lt;=Events!$B$3:$B$100))))</xm:f>
            <x14:dxf>
              <font>
                <b/>
                <i val="0"/>
                <color theme="0"/>
              </font>
              <fill>
                <patternFill>
                  <bgColor rgb="FF02B7A7"/>
                </patternFill>
              </fill>
            </x14:dxf>
          </x14:cfRule>
          <x14:cfRule type="expression" priority="210" id="{1A57CF12-DC72-41A2-ABA7-F1A02C0EF6E3}">
            <xm:f>AND(Settings!$C$17,J8&lt;&gt;"",OR(0&lt;SUMPRODUCT(1*(Settings!$A$17=Events!$D$3:$D$100),1*(J8=Events!$A$3:$A$100)),0&lt;SUMPRODUCT(1*(Settings!$A$17=Events!$D$3:$D$100),1*(J8&gt;=Events!$A$3:$A$100),1*(J8&lt;=Events!$B$3:$B$100))))</xm:f>
            <x14:dxf>
              <font>
                <b/>
                <i val="0"/>
                <color theme="0"/>
              </font>
              <fill>
                <patternFill>
                  <bgColor rgb="FF84BD00"/>
                </patternFill>
              </fill>
            </x14:dxf>
          </x14:cfRule>
          <x14:cfRule type="expression" priority="211" id="{162D059E-F67B-4E87-918C-67FFE139B936}">
            <xm:f>AND(Settings!$C$18,J8&lt;&gt;"",OR(0&lt;SUMPRODUCT(1*(Settings!$A$18=Events!$D$3:$D$100),1*(J8=Events!$A$3:$A$100)),0&lt;SUMPRODUCT(1*(Settings!$A$18=Events!$D$3:$D$100),1*(J8&gt;=Events!$A$3:$A$100),1*(J8&lt;=Events!$B$3:$B$100))))</xm:f>
            <x14:dxf>
              <font>
                <b/>
                <i val="0"/>
                <color theme="0"/>
              </font>
              <fill>
                <patternFill>
                  <bgColor rgb="FF84BD00"/>
                </patternFill>
              </fill>
            </x14:dxf>
          </x14:cfRule>
          <x14:cfRule type="expression" priority="209" id="{E1ED5328-CED5-4569-90A3-35E6C649798E}">
            <xm:f>AND(Settings!$C$16,J8&lt;&gt;"",OR(0&lt;SUMPRODUCT(1*(Settings!$A$16=Events!$D$3:$D$100),1*(J8=Events!$A$3:$A$100)),0&lt;SUMPRODUCT(1*(Settings!$A$16=Events!$D$3:$D$100),1*(J8&gt;=Events!$A$3:$A$100),1*(J8&lt;=Events!$B$3:$B$100))))</xm:f>
            <x14:dxf>
              <font>
                <b/>
                <i val="0"/>
                <color theme="0"/>
              </font>
              <fill>
                <patternFill>
                  <bgColor rgb="FF00A9CE"/>
                </patternFill>
              </fill>
            </x14:dxf>
          </x14:cfRule>
          <x14:cfRule type="expression" priority="208" id="{69633EEA-4F43-4381-865A-83CAA3640044}">
            <xm:f>AND(Settings!$C$15,J8&lt;&gt;"",OR(0&lt;SUMPRODUCT(1*(Settings!$A$15=Events!$D$3:$D$100),1*(J8=Events!$A$3:$A$100)),0&lt;SUMPRODUCT(1*(Settings!$A$15=Events!$D$3:$D$100),1*(J8&gt;=Events!$A$3:$A$100),1*(J8&lt;=Events!$B$3:$B$100))))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207" id="{65A4548C-94A4-44D7-9EEE-856776D41835}">
            <xm:f>AND(J8&lt;&gt;"",MATCH(J8,Events!$B$3:$B$100,0))</xm:f>
            <x14:dxf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206" id="{8A562ED1-98AE-4033-BF09-EABC461A0F6A}">
            <xm:f>AND(I7&lt;&gt;"",0&lt;SUMPRODUCT(1*(Events!$A$3:$A$100&lt;I7),1*(Events!$B$3:$B$100&gt;I7)))</xm:f>
            <x14:dxf>
              <border>
                <left/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205" id="{55F9A3E8-A169-47D6-A574-3831B76C0099}">
            <xm:f>AND(J8&lt;&gt;"",SUMPRODUCT(--(J8=Events!$A$3:$A$100),--(Events!$B$3:$B$100&lt;&gt;""))&gt;0)</xm:f>
            <x14:dxf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203" stopIfTrue="1" id="{F0FE1446-2FC8-4025-B603-8B2D4A1F35EC}">
            <xm:f>AND(NOT(Settings!$C$11),J8&lt;&gt;"",OR(0&lt;SUMPRODUCT(1*(Settings!$A$11=Events!$E$3:$E$100),1*(J8=Events!$A$3:$A$100)),0&lt;SUMPRODUCT(1*(Settings!$A$11=Events!$E$3:$E$100),1*(J8&gt;=Events!$A$3:$A$100),1*(J8&lt;=Events!$B$3:$B$100))))</xm:f>
            <x14:dxf/>
          </x14:cfRule>
          <x14:cfRule type="expression" priority="202" stopIfTrue="1" id="{8D569D67-01C0-4F07-96CC-B0A781E5A934}">
            <xm:f>AND(NOT(Settings!$C$10),J8&lt;&gt;"",OR(0&lt;SUMPRODUCT(1*(Settings!$A$10=Events!$E$3:$E$100),1*(J8=Events!$A$3:$A$100)),0&lt;SUMPRODUCT(1*(Settings!$A$10=Events!$E$3:$E$100),1*(J8&gt;=Events!$A$3:$A$100),1*(J8&lt;=Events!$B$3:$B$100))))</xm:f>
            <x14:dxf/>
          </x14:cfRule>
          <x14:cfRule type="expression" priority="201" id="{B205F0C7-D357-43BB-BB9A-897DF3111D61}">
            <xm:f>AND(Settings!$C$26,J8&lt;&gt;"",OR(0&lt;SUMPRODUCT(1*(Settings!$A$26=Events!$D$3:$D$100),1*(J8=Events!$A$3:$A$100)),0&lt;SUMPRODUCT(1*(Settings!$A$26=Events!$D$3:$D$100),1*(J8&gt;=Events!$A$3:$A$100),1*(J8&lt;=Events!$B$3:$B$100))))</xm:f>
            <x14:dxf>
              <font>
                <b val="0"/>
                <i val="0"/>
                <color theme="0"/>
              </font>
              <fill>
                <patternFill>
                  <bgColor rgb="FF787D81"/>
                </patternFill>
              </fill>
            </x14:dxf>
          </x14:cfRule>
          <x14:cfRule type="expression" priority="204" stopIfTrue="1" id="{0C8D067A-9AAE-438D-8278-D34B382ADEA3}">
            <xm:f>AND(NOT(Settings!$C$12),J8&lt;&gt;"",OR(0&lt;SUMPRODUCT(1*(Settings!$A$12=Events!$E$3:$E$100),1*(J8=Events!$A$3:$A$100)),0&lt;SUMPRODUCT(1*(Settings!$A$12=Events!$E$3:$E$100),1*(J8&gt;=Events!$A$3:$A$100),1*(J8&lt;=Events!$B$3:$B$100))))</xm:f>
            <x14:dxf/>
          </x14:cfRule>
          <xm:sqref>J8:P13</xm:sqref>
        </x14:conditionalFormatting>
        <x14:conditionalFormatting xmlns:xm="http://schemas.microsoft.com/office/excel/2006/main">
          <x14:cfRule type="expression" priority="121" id="{BD42D466-90E7-406D-80E3-2F6F90C623C0}">
            <xm:f>AND(Settings!$C$26,J17&lt;&gt;"",OR(0&lt;SUMPRODUCT(1*(Settings!$A$26=Events!$D$3:$D$100),1*(J17=Events!$A$3:$A$100)),0&lt;SUMPRODUCT(1*(Settings!$A$26=Events!$D$3:$D$100),1*(J17&gt;=Events!$A$3:$A$100),1*(J17&lt;=Events!$B$3:$B$100))))</xm:f>
            <x14:dxf>
              <font>
                <b val="0"/>
                <i val="0"/>
                <color theme="0"/>
              </font>
              <fill>
                <patternFill>
                  <bgColor rgb="FF787D81"/>
                </patternFill>
              </fill>
            </x14:dxf>
          </x14:cfRule>
          <x14:cfRule type="expression" priority="122" stopIfTrue="1" id="{8FDA1085-39A6-4971-96D5-13A487B8D5B0}">
            <xm:f>AND(NOT(Settings!$C$10),J17&lt;&gt;"",OR(0&lt;SUMPRODUCT(1*(Settings!$A$10=Events!$E$3:$E$100),1*(J17=Events!$A$3:$A$100)),0&lt;SUMPRODUCT(1*(Settings!$A$10=Events!$E$3:$E$100),1*(J17&gt;=Events!$A$3:$A$100),1*(J17&lt;=Events!$B$3:$B$100))))</xm:f>
            <x14:dxf/>
          </x14:cfRule>
          <x14:cfRule type="expression" priority="123" stopIfTrue="1" id="{E358CE50-2117-4D29-B231-9DDFFC28E0D1}">
            <xm:f>AND(NOT(Settings!$C$11),J17&lt;&gt;"",OR(0&lt;SUMPRODUCT(1*(Settings!$A$11=Events!$E$3:$E$100),1*(J17=Events!$A$3:$A$100)),0&lt;SUMPRODUCT(1*(Settings!$A$11=Events!$E$3:$E$100),1*(J17&gt;=Events!$A$3:$A$100),1*(J17&lt;=Events!$B$3:$B$100))))</xm:f>
            <x14:dxf/>
          </x14:cfRule>
          <x14:cfRule type="expression" priority="124" stopIfTrue="1" id="{CB5C378A-F628-4B1C-AEC4-F4C4C145A0EE}">
            <xm:f>AND(NOT(Settings!$C$12),J17&lt;&gt;"",OR(0&lt;SUMPRODUCT(1*(Settings!$A$12=Events!$E$3:$E$100),1*(J17=Events!$A$3:$A$100)),0&lt;SUMPRODUCT(1*(Settings!$A$12=Events!$E$3:$E$100),1*(J17&gt;=Events!$A$3:$A$100),1*(J17&lt;=Events!$B$3:$B$100))))</xm:f>
            <x14:dxf/>
          </x14:cfRule>
          <x14:cfRule type="expression" priority="125" id="{3B702CCA-DBFD-4B2B-90F6-6A67AD7BA067}">
            <xm:f>AND(J17&lt;&gt;"",SUMPRODUCT(--(J17=Events!$A$3:$A$100),--(Events!$B$3:$B$100&lt;&gt;""))&gt;0)</xm:f>
            <x14:dxf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126" id="{920E5119-2FCF-40C2-9501-FB7145C77299}">
            <xm:f>AND(I16&lt;&gt;"",0&lt;SUMPRODUCT(1*(Events!$A$3:$A$100&lt;I16),1*(Events!$B$3:$B$100&gt;I16)))</xm:f>
            <x14:dxf>
              <border>
                <left/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127" id="{D8C6B191-F9EC-492E-B644-AB9F03F6D4A9}">
            <xm:f>AND(J17&lt;&gt;"",MATCH(J17,Events!$B$3:$B$100,0))</xm:f>
            <x14:dxf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128" id="{B5447E95-6111-4B80-AC0A-75E5E4A24C43}">
            <xm:f>AND(Settings!$C$15,J17&lt;&gt;"",OR(0&lt;SUMPRODUCT(1*(Settings!$A$15=Events!$D$3:$D$100),1*(J17=Events!$A$3:$A$100)),0&lt;SUMPRODUCT(1*(Settings!$A$15=Events!$D$3:$D$100),1*(J17&gt;=Events!$A$3:$A$100),1*(J17&lt;=Events!$B$3:$B$100))))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129" id="{DC442C7F-15AA-4EC9-B7F8-C2222F9EF826}">
            <xm:f>AND(Settings!$C$16,J17&lt;&gt;"",OR(0&lt;SUMPRODUCT(1*(Settings!$A$16=Events!$D$3:$D$100),1*(J17=Events!$A$3:$A$100)),0&lt;SUMPRODUCT(1*(Settings!$A$16=Events!$D$3:$D$100),1*(J17&gt;=Events!$A$3:$A$100),1*(J17&lt;=Events!$B$3:$B$100))))</xm:f>
            <x14:dxf>
              <font>
                <b/>
                <i val="0"/>
                <color theme="0"/>
              </font>
              <fill>
                <patternFill>
                  <bgColor rgb="FF00A9CE"/>
                </patternFill>
              </fill>
            </x14:dxf>
          </x14:cfRule>
          <x14:cfRule type="expression" priority="130" id="{57CA5BF9-BC5E-4637-9A12-84475728E5FC}">
            <xm:f>AND(Settings!$C$17,J17&lt;&gt;"",OR(0&lt;SUMPRODUCT(1*(Settings!$A$17=Events!$D$3:$D$100),1*(J17=Events!$A$3:$A$100)),0&lt;SUMPRODUCT(1*(Settings!$A$17=Events!$D$3:$D$100),1*(J17&gt;=Events!$A$3:$A$100),1*(J17&lt;=Events!$B$3:$B$100))))</xm:f>
            <x14:dxf>
              <font>
                <b/>
                <i val="0"/>
                <color theme="0"/>
              </font>
              <fill>
                <patternFill>
                  <bgColor rgb="FF84BD00"/>
                </patternFill>
              </fill>
            </x14:dxf>
          </x14:cfRule>
          <x14:cfRule type="expression" priority="131" id="{3AD9C225-054A-48A8-B2DF-7649FD7A230B}">
            <xm:f>AND(Settings!$C$18,J17&lt;&gt;"",OR(0&lt;SUMPRODUCT(1*(Settings!$A$18=Events!$D$3:$D$100),1*(J17=Events!$A$3:$A$100)),0&lt;SUMPRODUCT(1*(Settings!$A$18=Events!$D$3:$D$100),1*(J17&gt;=Events!$A$3:$A$100),1*(J17&lt;=Events!$B$3:$B$100))))</xm:f>
            <x14:dxf>
              <font>
                <b/>
                <i val="0"/>
                <color theme="0"/>
              </font>
              <fill>
                <patternFill>
                  <bgColor rgb="FF84BD00"/>
                </patternFill>
              </fill>
            </x14:dxf>
          </x14:cfRule>
          <x14:cfRule type="expression" priority="132" id="{BB7ED6D3-5D3C-4BD4-B7A4-B11180E2EB51}">
            <xm:f>AND(Settings!$C$19,J17&lt;&gt;"",OR(0&lt;SUMPRODUCT(1*(Settings!$A$19=Events!$D$3:$D$100),1*(J17=Events!$A$3:$A$100)),0&lt;SUMPRODUCT(1*(Settings!$A$19=Events!$D$3:$D$100),1*(J17&gt;=Events!$A$3:$A$100),1*(J17&lt;=Events!$B$3:$B$100))))</xm:f>
            <x14:dxf>
              <font>
                <b/>
                <i val="0"/>
                <color theme="0"/>
              </font>
              <fill>
                <patternFill>
                  <bgColor rgb="FF02B7A7"/>
                </patternFill>
              </fill>
            </x14:dxf>
          </x14:cfRule>
          <x14:cfRule type="expression" priority="133" id="{1CB107D6-8309-4728-A6B5-2D89C387883C}">
            <xm:f>AND(Settings!$C$20,J17&lt;&gt;"",OR(0&lt;SUMPRODUCT(1*(Settings!$A$20=Events!$D$3:$D$100),1*(J17=Events!$A$3:$A$100)),0&lt;SUMPRODUCT(1*(Settings!$A$20=Events!$D$3:$D$100),1*(J17&gt;=Events!$A$3:$A$100),1*(J17&lt;=Events!$B$3:$B$100))))</xm:f>
            <x14:dxf>
              <font>
                <b/>
                <i val="0"/>
                <color theme="0"/>
              </font>
              <fill>
                <patternFill>
                  <bgColor rgb="FFD5B142"/>
                </patternFill>
              </fill>
            </x14:dxf>
          </x14:cfRule>
          <x14:cfRule type="expression" priority="134" id="{F6111B27-17AA-4ECB-923A-36D5D85BE0D4}">
            <xm:f>AND(Settings!$C$21,J17&lt;&gt;"",OR(0&lt;SUMPRODUCT(1*(Settings!$A$21=Events!$D$3:$D$100),1*(J17=Events!$A$3:$A$100)),0&lt;SUMPRODUCT(1*(Settings!$A$21=Events!$D$3:$D$100),1*(J17&gt;=Events!$A$3:$A$100),1*(J17&lt;=Events!$B$3:$B$100))))</xm:f>
            <x14:dxf>
              <font>
                <b/>
                <i val="0"/>
                <color theme="0"/>
              </font>
              <fill>
                <patternFill>
                  <bgColor rgb="FF00ADEE"/>
                </patternFill>
              </fill>
            </x14:dxf>
          </x14:cfRule>
          <x14:cfRule type="expression" priority="135" id="{D45DC224-1BF8-45B8-887C-E441AAD5D0D4}">
            <xm:f>AND(Settings!$C$22,J17&lt;&gt;"",OR(0&lt;SUMPRODUCT(1*(Settings!$A$22=Events!$D$3:$D$100),1*(J17=Events!$A$3:$A$100)),0&lt;SUMPRODUCT(1*(Settings!$A$22=Events!$D$3:$D$100),1*(J17&gt;=Events!$A$3:$A$100),1*(J17&lt;=Events!$B$3:$B$100))))</xm:f>
            <x14:dxf>
              <font>
                <b/>
                <i val="0"/>
                <color auto="1"/>
              </font>
              <fill>
                <patternFill>
                  <bgColor rgb="FFD5E5EB"/>
                </patternFill>
              </fill>
            </x14:dxf>
          </x14:cfRule>
          <x14:cfRule type="expression" priority="136" id="{CD80B0CF-D992-4651-8E6F-0C4B003DBB21}">
            <xm:f>AND(Settings!$C$23,J17&lt;&gt;"",OR(0&lt;SUMPRODUCT(1*(Settings!$A$23=Events!$D$3:$D$100),1*(J17=Events!$A$3:$A$100)),0&lt;SUMPRODUCT(1*(Settings!$A$23=Events!$D$3:$D$100),1*(J17&gt;=Events!$A$3:$A$100),1*(J17&lt;=Events!$B$3:$B$100))))</xm:f>
            <x14:dxf>
              <font>
                <b/>
                <i val="0"/>
                <color theme="0"/>
              </font>
              <fill>
                <patternFill>
                  <bgColor rgb="FFC000C2"/>
                </patternFill>
              </fill>
            </x14:dxf>
          </x14:cfRule>
          <x14:cfRule type="expression" priority="137" id="{520DF4A0-6463-4F46-8263-C963913380A6}">
            <xm:f>AND(Settings!$C$24,J17&lt;&gt;"",OR(0&lt;SUMPRODUCT(1*(Settings!$A$24=Events!$D$3:$D$100),1*(J17=Events!$A$3:$A$100)),0&lt;SUMPRODUCT(1*(Settings!$A$24=Events!$D$3:$D$100),1*(J17&gt;=Events!$A$3:$A$100),1*(J17&lt;=Events!$B$3:$B$100))))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138" id="{374CBDFA-6C33-4CE6-95E8-CF8FD20215DF}">
            <xm:f>AND(Settings!$C$25,J17&lt;&gt;"",OR(0&lt;SUMPRODUCT(1*(Settings!$A$25=Events!$D$3:$D$100),1*(J17=Events!$A$3:$A$100)),0&lt;SUMPRODUCT(1*(Settings!$A$25=Events!$D$3:$D$100),1*(J17&gt;=Events!$A$3:$A$100),1*(J17&lt;=Events!$B$3:$B$100))))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139" id="{BC22AB87-03A2-4EB3-BB39-ECF96DEFD0FF}">
            <xm:f>J$7=Settings!$B$7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140" id="{D3369D7E-3B3B-4D9F-86AF-8659128701A6}">
            <xm:f>J$7=Settings!$B$8</xm:f>
            <x14:dxf>
              <fill>
                <patternFill>
                  <bgColor theme="0" tint="-0.14996795556505021"/>
                </patternFill>
              </fill>
            </x14:dxf>
          </x14:cfRule>
          <xm:sqref>J17:P22</xm:sqref>
        </x14:conditionalFormatting>
        <x14:conditionalFormatting xmlns:xm="http://schemas.microsoft.com/office/excel/2006/main">
          <x14:cfRule type="expression" priority="91" id="{AB7FDDED-2752-4CDE-A5C3-C977968570DC}">
            <xm:f>AND(Settings!$C$18,J26&lt;&gt;"",OR(0&lt;SUMPRODUCT(1*(Settings!$A$18=Events!$D$3:$D$100),1*(J26=Events!$A$3:$A$100)),0&lt;SUMPRODUCT(1*(Settings!$A$18=Events!$D$3:$D$100),1*(J26&gt;=Events!$A$3:$A$100),1*(J26&lt;=Events!$B$3:$B$100))))</xm:f>
            <x14:dxf>
              <font>
                <b/>
                <i val="0"/>
                <color theme="0"/>
              </font>
              <fill>
                <patternFill>
                  <bgColor rgb="FF84BD00"/>
                </patternFill>
              </fill>
            </x14:dxf>
          </x14:cfRule>
          <x14:cfRule type="expression" priority="100" id="{C45D9412-E875-419B-92CA-8A463A71D6EA}">
            <xm:f>J$7=Settings!$B$8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99" id="{C3DC3703-0DD9-400B-B764-1F3FB4B0EAEC}">
            <xm:f>J$7=Settings!$B$7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98" id="{EF3AF95B-42AF-4B78-8306-D704B8604A1B}">
            <xm:f>AND(Settings!$C$25,J26&lt;&gt;"",OR(0&lt;SUMPRODUCT(1*(Settings!$A$25=Events!$D$3:$D$100),1*(J26=Events!$A$3:$A$100)),0&lt;SUMPRODUCT(1*(Settings!$A$25=Events!$D$3:$D$100),1*(J26&gt;=Events!$A$3:$A$100),1*(J26&lt;=Events!$B$3:$B$100))))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97" id="{252DB439-0B69-4C59-9C5A-EE1E4A782EF6}">
            <xm:f>AND(Settings!$C$24,J26&lt;&gt;"",OR(0&lt;SUMPRODUCT(1*(Settings!$A$24=Events!$D$3:$D$100),1*(J26=Events!$A$3:$A$100)),0&lt;SUMPRODUCT(1*(Settings!$A$24=Events!$D$3:$D$100),1*(J26&gt;=Events!$A$3:$A$100),1*(J26&lt;=Events!$B$3:$B$100))))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96" id="{44D0FB84-0CD1-4330-BC7B-6315E6995458}">
            <xm:f>AND(Settings!$C$23,J26&lt;&gt;"",OR(0&lt;SUMPRODUCT(1*(Settings!$A$23=Events!$D$3:$D$100),1*(J26=Events!$A$3:$A$100)),0&lt;SUMPRODUCT(1*(Settings!$A$23=Events!$D$3:$D$100),1*(J26&gt;=Events!$A$3:$A$100),1*(J26&lt;=Events!$B$3:$B$100))))</xm:f>
            <x14:dxf>
              <font>
                <b/>
                <i val="0"/>
                <color theme="0"/>
              </font>
              <fill>
                <patternFill>
                  <bgColor rgb="FFC000C2"/>
                </patternFill>
              </fill>
            </x14:dxf>
          </x14:cfRule>
          <x14:cfRule type="expression" priority="95" id="{01E0F8AB-B93B-4618-B959-2015E118E628}">
            <xm:f>AND(Settings!$C$22,J26&lt;&gt;"",OR(0&lt;SUMPRODUCT(1*(Settings!$A$22=Events!$D$3:$D$100),1*(J26=Events!$A$3:$A$100)),0&lt;SUMPRODUCT(1*(Settings!$A$22=Events!$D$3:$D$100),1*(J26&gt;=Events!$A$3:$A$100),1*(J26&lt;=Events!$B$3:$B$100))))</xm:f>
            <x14:dxf>
              <font>
                <b/>
                <i val="0"/>
                <color auto="1"/>
              </font>
              <fill>
                <patternFill>
                  <bgColor rgb="FFD5E5EB"/>
                </patternFill>
              </fill>
            </x14:dxf>
          </x14:cfRule>
          <x14:cfRule type="expression" priority="94" id="{E8C2E9D3-890A-4B96-9CD5-59CAEDB2A838}">
            <xm:f>AND(Settings!$C$21,J26&lt;&gt;"",OR(0&lt;SUMPRODUCT(1*(Settings!$A$21=Events!$D$3:$D$100),1*(J26=Events!$A$3:$A$100)),0&lt;SUMPRODUCT(1*(Settings!$A$21=Events!$D$3:$D$100),1*(J26&gt;=Events!$A$3:$A$100),1*(J26&lt;=Events!$B$3:$B$100))))</xm:f>
            <x14:dxf>
              <font>
                <b/>
                <i val="0"/>
                <color theme="0"/>
              </font>
              <fill>
                <patternFill>
                  <bgColor rgb="FF00ADEE"/>
                </patternFill>
              </fill>
            </x14:dxf>
          </x14:cfRule>
          <x14:cfRule type="expression" priority="93" id="{65900605-5420-4307-BBD4-4A73BB1D0C54}">
            <xm:f>AND(Settings!$C$20,J26&lt;&gt;"",OR(0&lt;SUMPRODUCT(1*(Settings!$A$20=Events!$D$3:$D$100),1*(J26=Events!$A$3:$A$100)),0&lt;SUMPRODUCT(1*(Settings!$A$20=Events!$D$3:$D$100),1*(J26&gt;=Events!$A$3:$A$100),1*(J26&lt;=Events!$B$3:$B$100))))</xm:f>
            <x14:dxf>
              <font>
                <b/>
                <i val="0"/>
                <color theme="0"/>
              </font>
              <fill>
                <patternFill>
                  <bgColor rgb="FFD5B142"/>
                </patternFill>
              </fill>
            </x14:dxf>
          </x14:cfRule>
          <x14:cfRule type="expression" priority="92" id="{E27760FC-429E-43AD-9A95-3AE798172560}">
            <xm:f>AND(Settings!$C$19,J26&lt;&gt;"",OR(0&lt;SUMPRODUCT(1*(Settings!$A$19=Events!$D$3:$D$100),1*(J26=Events!$A$3:$A$100)),0&lt;SUMPRODUCT(1*(Settings!$A$19=Events!$D$3:$D$100),1*(J26&gt;=Events!$A$3:$A$100),1*(J26&lt;=Events!$B$3:$B$100))))</xm:f>
            <x14:dxf>
              <font>
                <b/>
                <i val="0"/>
                <color theme="0"/>
              </font>
              <fill>
                <patternFill>
                  <bgColor rgb="FF02B7A7"/>
                </patternFill>
              </fill>
            </x14:dxf>
          </x14:cfRule>
          <x14:cfRule type="expression" priority="90" id="{08EF06E7-ABBF-48E7-B2E2-0F56A552A02D}">
            <xm:f>AND(Settings!$C$17,J26&lt;&gt;"",OR(0&lt;SUMPRODUCT(1*(Settings!$A$17=Events!$D$3:$D$100),1*(J26=Events!$A$3:$A$100)),0&lt;SUMPRODUCT(1*(Settings!$A$17=Events!$D$3:$D$100),1*(J26&gt;=Events!$A$3:$A$100),1*(J26&lt;=Events!$B$3:$B$100))))</xm:f>
            <x14:dxf>
              <font>
                <b/>
                <i val="0"/>
                <color theme="0"/>
              </font>
              <fill>
                <patternFill>
                  <bgColor rgb="FF84BD00"/>
                </patternFill>
              </fill>
            </x14:dxf>
          </x14:cfRule>
          <x14:cfRule type="expression" priority="89" id="{F983B037-65A0-4FE6-88F5-2A0834310838}">
            <xm:f>AND(Settings!$C$16,J26&lt;&gt;"",OR(0&lt;SUMPRODUCT(1*(Settings!$A$16=Events!$D$3:$D$100),1*(J26=Events!$A$3:$A$100)),0&lt;SUMPRODUCT(1*(Settings!$A$16=Events!$D$3:$D$100),1*(J26&gt;=Events!$A$3:$A$100),1*(J26&lt;=Events!$B$3:$B$100))))</xm:f>
            <x14:dxf>
              <font>
                <b/>
                <i val="0"/>
                <color theme="0"/>
              </font>
              <fill>
                <patternFill>
                  <bgColor rgb="FF00A9CE"/>
                </patternFill>
              </fill>
            </x14:dxf>
          </x14:cfRule>
          <x14:cfRule type="expression" priority="88" id="{5CC902C7-E43E-4A29-9593-B111D68FA2AC}">
            <xm:f>AND(Settings!$C$15,J26&lt;&gt;"",OR(0&lt;SUMPRODUCT(1*(Settings!$A$15=Events!$D$3:$D$100),1*(J26=Events!$A$3:$A$100)),0&lt;SUMPRODUCT(1*(Settings!$A$15=Events!$D$3:$D$100),1*(J26&gt;=Events!$A$3:$A$100),1*(J26&lt;=Events!$B$3:$B$100))))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87" id="{4ACD8125-3D34-43A7-8410-B5DAB411F553}">
            <xm:f>AND(J26&lt;&gt;"",MATCH(J26,Events!$B$3:$B$100,0))</xm:f>
            <x14:dxf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86" id="{C3E21EE3-9BF1-45B3-9664-AE12824C786B}">
            <xm:f>AND(I25&lt;&gt;"",0&lt;SUMPRODUCT(1*(Events!$A$3:$A$100&lt;I25),1*(Events!$B$3:$B$100&gt;I25)))</xm:f>
            <x14:dxf>
              <border>
                <left/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85" id="{B2E7DC5E-0E02-4BF6-9DDE-342BF64D3A26}">
            <xm:f>AND(J26&lt;&gt;"",SUMPRODUCT(--(J26=Events!$A$3:$A$100),--(Events!$B$3:$B$100&lt;&gt;""))&gt;0)</xm:f>
            <x14:dxf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84" stopIfTrue="1" id="{57E74A1A-9807-4DBC-8B45-F6447CEC117A}">
            <xm:f>AND(NOT(Settings!$C$12),J26&lt;&gt;"",OR(0&lt;SUMPRODUCT(1*(Settings!$A$12=Events!$E$3:$E$100),1*(J26=Events!$A$3:$A$100)),0&lt;SUMPRODUCT(1*(Settings!$A$12=Events!$E$3:$E$100),1*(J26&gt;=Events!$A$3:$A$100),1*(J26&lt;=Events!$B$3:$B$100))))</xm:f>
            <x14:dxf/>
          </x14:cfRule>
          <x14:cfRule type="expression" priority="83" stopIfTrue="1" id="{FAF11E2E-AFC2-46A6-80EE-120ED774EC64}">
            <xm:f>AND(NOT(Settings!$C$11),J26&lt;&gt;"",OR(0&lt;SUMPRODUCT(1*(Settings!$A$11=Events!$E$3:$E$100),1*(J26=Events!$A$3:$A$100)),0&lt;SUMPRODUCT(1*(Settings!$A$11=Events!$E$3:$E$100),1*(J26&gt;=Events!$A$3:$A$100),1*(J26&lt;=Events!$B$3:$B$100))))</xm:f>
            <x14:dxf/>
          </x14:cfRule>
          <x14:cfRule type="expression" priority="82" stopIfTrue="1" id="{44F7C767-0222-4727-9241-8C213683E168}">
            <xm:f>AND(NOT(Settings!$C$10),J26&lt;&gt;"",OR(0&lt;SUMPRODUCT(1*(Settings!$A$10=Events!$E$3:$E$100),1*(J26=Events!$A$3:$A$100)),0&lt;SUMPRODUCT(1*(Settings!$A$10=Events!$E$3:$E$100),1*(J26&gt;=Events!$A$3:$A$100),1*(J26&lt;=Events!$B$3:$B$100))))</xm:f>
            <x14:dxf/>
          </x14:cfRule>
          <x14:cfRule type="expression" priority="81" id="{6A413C0E-4A23-4ED7-9EF2-630E8021664A}">
            <xm:f>AND(Settings!$C$26,J26&lt;&gt;"",OR(0&lt;SUMPRODUCT(1*(Settings!$A$26=Events!$D$3:$D$100),1*(J26=Events!$A$3:$A$100)),0&lt;SUMPRODUCT(1*(Settings!$A$26=Events!$D$3:$D$100),1*(J26&gt;=Events!$A$3:$A$100),1*(J26&lt;=Events!$B$3:$B$100))))</xm:f>
            <x14:dxf>
              <font>
                <b val="0"/>
                <i val="0"/>
                <color theme="0"/>
              </font>
              <fill>
                <patternFill>
                  <bgColor rgb="FF787D81"/>
                </patternFill>
              </fill>
            </x14:dxf>
          </x14:cfRule>
          <xm:sqref>J26:P31</xm:sqref>
        </x14:conditionalFormatting>
        <x14:conditionalFormatting xmlns:xm="http://schemas.microsoft.com/office/excel/2006/main">
          <x14:cfRule type="expression" priority="36" id="{353C156C-AF48-4C0C-9389-5C7A8D863574}">
            <xm:f>AND(Settings!$C$23,J35&lt;&gt;"",OR(0&lt;SUMPRODUCT(1*(Settings!$A$23=Events!$D$3:$D$100),1*(J35=Events!$A$3:$A$100)),0&lt;SUMPRODUCT(1*(Settings!$A$23=Events!$D$3:$D$100),1*(J35&gt;=Events!$A$3:$A$100),1*(J35&lt;=Events!$B$3:$B$100))))</xm:f>
            <x14:dxf>
              <font>
                <b/>
                <i val="0"/>
                <color theme="0"/>
              </font>
              <fill>
                <patternFill>
                  <bgColor rgb="FFC000C2"/>
                </patternFill>
              </fill>
            </x14:dxf>
          </x14:cfRule>
          <x14:cfRule type="expression" priority="21" id="{994F3CC5-B40F-46EF-A70E-0A3FF68DC665}">
            <xm:f>AND(Settings!$C$26,J35&lt;&gt;"",OR(0&lt;SUMPRODUCT(1*(Settings!$A$26=Events!$D$3:$D$100),1*(J35=Events!$A$3:$A$100)),0&lt;SUMPRODUCT(1*(Settings!$A$26=Events!$D$3:$D$100),1*(J35&gt;=Events!$A$3:$A$100),1*(J35&lt;=Events!$B$3:$B$100))))</xm:f>
            <x14:dxf>
              <font>
                <b val="0"/>
                <i val="0"/>
                <color theme="0"/>
              </font>
              <fill>
                <patternFill>
                  <bgColor rgb="FF787D81"/>
                </patternFill>
              </fill>
            </x14:dxf>
          </x14:cfRule>
          <x14:cfRule type="expression" priority="22" stopIfTrue="1" id="{508F223B-4FB9-4D47-9949-23ADE4516DE2}">
            <xm:f>AND(NOT(Settings!$C$10),J35&lt;&gt;"",OR(0&lt;SUMPRODUCT(1*(Settings!$A$10=Events!$E$3:$E$100),1*(J35=Events!$A$3:$A$100)),0&lt;SUMPRODUCT(1*(Settings!$A$10=Events!$E$3:$E$100),1*(J35&gt;=Events!$A$3:$A$100),1*(J35&lt;=Events!$B$3:$B$100))))</xm:f>
            <x14:dxf/>
          </x14:cfRule>
          <x14:cfRule type="expression" priority="23" stopIfTrue="1" id="{F433A734-FDC6-4C6C-B2A4-712EBFE267E0}">
            <xm:f>AND(NOT(Settings!$C$11),J35&lt;&gt;"",OR(0&lt;SUMPRODUCT(1*(Settings!$A$11=Events!$E$3:$E$100),1*(J35=Events!$A$3:$A$100)),0&lt;SUMPRODUCT(1*(Settings!$A$11=Events!$E$3:$E$100),1*(J35&gt;=Events!$A$3:$A$100),1*(J35&lt;=Events!$B$3:$B$100))))</xm:f>
            <x14:dxf/>
          </x14:cfRule>
          <x14:cfRule type="expression" priority="24" stopIfTrue="1" id="{4E3D3D8E-C404-4F19-95DE-81F247469B9B}">
            <xm:f>AND(NOT(Settings!$C$12),J35&lt;&gt;"",OR(0&lt;SUMPRODUCT(1*(Settings!$A$12=Events!$E$3:$E$100),1*(J35=Events!$A$3:$A$100)),0&lt;SUMPRODUCT(1*(Settings!$A$12=Events!$E$3:$E$100),1*(J35&gt;=Events!$A$3:$A$100),1*(J35&lt;=Events!$B$3:$B$100))))</xm:f>
            <x14:dxf/>
          </x14:cfRule>
          <x14:cfRule type="expression" priority="25" id="{3188A544-8E55-4765-98E7-D9410B9B916D}">
            <xm:f>AND(J35&lt;&gt;"",SUMPRODUCT(--(J35=Events!$A$3:$A$100),--(Events!$B$3:$B$100&lt;&gt;""))&gt;0)</xm:f>
            <x14:dxf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26" id="{3C409D45-3278-4813-B9F7-BBE06DF91E1D}">
            <xm:f>AND(I34&lt;&gt;"",0&lt;SUMPRODUCT(1*(Events!$A$3:$A$100&lt;I34),1*(Events!$B$3:$B$100&gt;I34)))</xm:f>
            <x14:dxf>
              <border>
                <left/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27" id="{D04CDF1F-72A3-442D-A696-CE25516E5F09}">
            <xm:f>AND(J35&lt;&gt;"",MATCH(J35,Events!$B$3:$B$100,0))</xm:f>
            <x14:dxf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28" id="{6E742266-4D83-4D46-852D-B5FFAC1002A6}">
            <xm:f>AND(Settings!$C$15,J35&lt;&gt;"",OR(0&lt;SUMPRODUCT(1*(Settings!$A$15=Events!$D$3:$D$100),1*(J35=Events!$A$3:$A$100)),0&lt;SUMPRODUCT(1*(Settings!$A$15=Events!$D$3:$D$100),1*(J35&gt;=Events!$A$3:$A$100),1*(J35&lt;=Events!$B$3:$B$100))))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29" id="{5D0E06CE-E28C-4CCB-A686-7E015DE1C351}">
            <xm:f>AND(Settings!$C$16,J35&lt;&gt;"",OR(0&lt;SUMPRODUCT(1*(Settings!$A$16=Events!$D$3:$D$100),1*(J35=Events!$A$3:$A$100)),0&lt;SUMPRODUCT(1*(Settings!$A$16=Events!$D$3:$D$100),1*(J35&gt;=Events!$A$3:$A$100),1*(J35&lt;=Events!$B$3:$B$100))))</xm:f>
            <x14:dxf>
              <font>
                <b/>
                <i val="0"/>
                <color theme="0"/>
              </font>
              <fill>
                <patternFill>
                  <bgColor rgb="FF00A9CE"/>
                </patternFill>
              </fill>
            </x14:dxf>
          </x14:cfRule>
          <x14:cfRule type="expression" priority="30" id="{2B2ED57A-56A5-41DA-8C9E-9DD87EA8B2E7}">
            <xm:f>AND(Settings!$C$17,J35&lt;&gt;"",OR(0&lt;SUMPRODUCT(1*(Settings!$A$17=Events!$D$3:$D$100),1*(J35=Events!$A$3:$A$100)),0&lt;SUMPRODUCT(1*(Settings!$A$17=Events!$D$3:$D$100),1*(J35&gt;=Events!$A$3:$A$100),1*(J35&lt;=Events!$B$3:$B$100))))</xm:f>
            <x14:dxf>
              <font>
                <b/>
                <i val="0"/>
                <color theme="0"/>
              </font>
              <fill>
                <patternFill>
                  <bgColor rgb="FF84BD00"/>
                </patternFill>
              </fill>
            </x14:dxf>
          </x14:cfRule>
          <x14:cfRule type="expression" priority="32" id="{35BD5620-9B4B-42D5-BB05-5DC0A0B0132A}">
            <xm:f>AND(Settings!$C$19,J35&lt;&gt;"",OR(0&lt;SUMPRODUCT(1*(Settings!$A$19=Events!$D$3:$D$100),1*(J35=Events!$A$3:$A$100)),0&lt;SUMPRODUCT(1*(Settings!$A$19=Events!$D$3:$D$100),1*(J35&gt;=Events!$A$3:$A$100),1*(J35&lt;=Events!$B$3:$B$100))))</xm:f>
            <x14:dxf>
              <font>
                <b/>
                <i val="0"/>
                <color theme="0"/>
              </font>
              <fill>
                <patternFill>
                  <bgColor rgb="FF02B7A7"/>
                </patternFill>
              </fill>
            </x14:dxf>
          </x14:cfRule>
          <x14:cfRule type="expression" priority="33" id="{D0AC9D84-A737-44B9-B368-260FEB20D129}">
            <xm:f>AND(Settings!$C$20,J35&lt;&gt;"",OR(0&lt;SUMPRODUCT(1*(Settings!$A$20=Events!$D$3:$D$100),1*(J35=Events!$A$3:$A$100)),0&lt;SUMPRODUCT(1*(Settings!$A$20=Events!$D$3:$D$100),1*(J35&gt;=Events!$A$3:$A$100),1*(J35&lt;=Events!$B$3:$B$100))))</xm:f>
            <x14:dxf>
              <font>
                <b/>
                <i val="0"/>
                <color theme="0"/>
              </font>
              <fill>
                <patternFill>
                  <bgColor rgb="FFD5B142"/>
                </patternFill>
              </fill>
            </x14:dxf>
          </x14:cfRule>
          <x14:cfRule type="expression" priority="34" id="{60D7B330-20F9-431C-ACF2-91F9B3CCB06B}">
            <xm:f>AND(Settings!$C$21,J35&lt;&gt;"",OR(0&lt;SUMPRODUCT(1*(Settings!$A$21=Events!$D$3:$D$100),1*(J35=Events!$A$3:$A$100)),0&lt;SUMPRODUCT(1*(Settings!$A$21=Events!$D$3:$D$100),1*(J35&gt;=Events!$A$3:$A$100),1*(J35&lt;=Events!$B$3:$B$100))))</xm:f>
            <x14:dxf>
              <font>
                <b/>
                <i val="0"/>
                <color theme="0"/>
              </font>
              <fill>
                <patternFill>
                  <bgColor rgb="FF00ADEE"/>
                </patternFill>
              </fill>
            </x14:dxf>
          </x14:cfRule>
          <x14:cfRule type="expression" priority="31" id="{A8B88D81-BD5B-4422-B02C-1D734C738294}">
            <xm:f>AND(Settings!$C$18,J35&lt;&gt;"",OR(0&lt;SUMPRODUCT(1*(Settings!$A$18=Events!$D$3:$D$100),1*(J35=Events!$A$3:$A$100)),0&lt;SUMPRODUCT(1*(Settings!$A$18=Events!$D$3:$D$100),1*(J35&gt;=Events!$A$3:$A$100),1*(J35&lt;=Events!$B$3:$B$100))))</xm:f>
            <x14:dxf>
              <font>
                <b/>
                <i val="0"/>
                <color theme="0"/>
              </font>
              <fill>
                <patternFill>
                  <bgColor rgb="FF84BD00"/>
                </patternFill>
              </fill>
            </x14:dxf>
          </x14:cfRule>
          <x14:cfRule type="expression" priority="35" id="{0BB5AD88-268E-4BA4-8766-1B05B76AE36F}">
            <xm:f>AND(Settings!$C$22,J35&lt;&gt;"",OR(0&lt;SUMPRODUCT(1*(Settings!$A$22=Events!$D$3:$D$100),1*(J35=Events!$A$3:$A$100)),0&lt;SUMPRODUCT(1*(Settings!$A$22=Events!$D$3:$D$100),1*(J35&gt;=Events!$A$3:$A$100),1*(J35&lt;=Events!$B$3:$B$100))))</xm:f>
            <x14:dxf>
              <font>
                <b/>
                <i val="0"/>
                <color auto="1"/>
              </font>
              <fill>
                <patternFill>
                  <bgColor rgb="FFD5E5EB"/>
                </patternFill>
              </fill>
            </x14:dxf>
          </x14:cfRule>
          <x14:cfRule type="expression" priority="37" id="{043DDB14-13E1-4C96-8A6B-F4B598E043D7}">
            <xm:f>AND(Settings!$C$24,J35&lt;&gt;"",OR(0&lt;SUMPRODUCT(1*(Settings!$A$24=Events!$D$3:$D$100),1*(J35=Events!$A$3:$A$100)),0&lt;SUMPRODUCT(1*(Settings!$A$24=Events!$D$3:$D$100),1*(J35&gt;=Events!$A$3:$A$100),1*(J35&lt;=Events!$B$3:$B$100))))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38" id="{36C82C2B-B27B-4361-91AD-DF79C10D5912}">
            <xm:f>AND(Settings!$C$25,J35&lt;&gt;"",OR(0&lt;SUMPRODUCT(1*(Settings!$A$25=Events!$D$3:$D$100),1*(J35=Events!$A$3:$A$100)),0&lt;SUMPRODUCT(1*(Settings!$A$25=Events!$D$3:$D$100),1*(J35&gt;=Events!$A$3:$A$100),1*(J35&lt;=Events!$B$3:$B$100))))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39" id="{030CE852-78C4-4DE0-BAEC-F053E2454D5E}">
            <xm:f>J$7=Settings!$B$7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40" id="{514AD7E2-92EA-4911-817F-75EAD87CDA12}">
            <xm:f>J$7=Settings!$B$8</xm:f>
            <x14:dxf>
              <fill>
                <patternFill>
                  <bgColor theme="0" tint="-0.14996795556505021"/>
                </patternFill>
              </fill>
            </x14:dxf>
          </x14:cfRule>
          <xm:sqref>J35:P40</xm:sqref>
        </x14:conditionalFormatting>
        <x14:conditionalFormatting xmlns:xm="http://schemas.microsoft.com/office/excel/2006/main">
          <x14:cfRule type="expression" priority="180" id="{59098480-3DCD-4B0E-8D28-C9CCCD551DF8}">
            <xm:f>R$7=Settings!$B$8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161" id="{FD56938F-DE43-4BD9-B574-99AE00D16B8A}">
            <xm:f>AND(Settings!$C$26,R8&lt;&gt;"",OR(0&lt;SUMPRODUCT(1*(Settings!$A$26=Events!$D$3:$D$100),1*(R8=Events!$A$3:$A$100)),0&lt;SUMPRODUCT(1*(Settings!$A$26=Events!$D$3:$D$100),1*(R8&gt;=Events!$A$3:$A$100),1*(R8&lt;=Events!$B$3:$B$100))))</xm:f>
            <x14:dxf>
              <font>
                <b val="0"/>
                <i val="0"/>
                <color theme="0"/>
              </font>
              <fill>
                <patternFill>
                  <bgColor rgb="FF787D81"/>
                </patternFill>
              </fill>
            </x14:dxf>
          </x14:cfRule>
          <x14:cfRule type="expression" priority="162" stopIfTrue="1" id="{729BCB89-BD50-4F12-9CC7-FB8CB09A946E}">
            <xm:f>AND(NOT(Settings!$C$10),R8&lt;&gt;"",OR(0&lt;SUMPRODUCT(1*(Settings!$A$10=Events!$E$3:$E$100),1*(R8=Events!$A$3:$A$100)),0&lt;SUMPRODUCT(1*(Settings!$A$10=Events!$E$3:$E$100),1*(R8&gt;=Events!$A$3:$A$100),1*(R8&lt;=Events!$B$3:$B$100))))</xm:f>
            <x14:dxf/>
          </x14:cfRule>
          <x14:cfRule type="expression" priority="163" stopIfTrue="1" id="{93388BE8-5BDD-494B-98CC-412EB94527DE}">
            <xm:f>AND(NOT(Settings!$C$11),R8&lt;&gt;"",OR(0&lt;SUMPRODUCT(1*(Settings!$A$11=Events!$E$3:$E$100),1*(R8=Events!$A$3:$A$100)),0&lt;SUMPRODUCT(1*(Settings!$A$11=Events!$E$3:$E$100),1*(R8&gt;=Events!$A$3:$A$100),1*(R8&lt;=Events!$B$3:$B$100))))</xm:f>
            <x14:dxf/>
          </x14:cfRule>
          <x14:cfRule type="expression" priority="164" stopIfTrue="1" id="{9926B8D1-88CB-4F06-8232-A5451D656E1F}">
            <xm:f>AND(NOT(Settings!$C$12),R8&lt;&gt;"",OR(0&lt;SUMPRODUCT(1*(Settings!$A$12=Events!$E$3:$E$100),1*(R8=Events!$A$3:$A$100)),0&lt;SUMPRODUCT(1*(Settings!$A$12=Events!$E$3:$E$100),1*(R8&gt;=Events!$A$3:$A$100),1*(R8&lt;=Events!$B$3:$B$100))))</xm:f>
            <x14:dxf/>
          </x14:cfRule>
          <x14:cfRule type="expression" priority="165" id="{B13A83B3-B263-4B5F-B925-59589CF00D0E}">
            <xm:f>AND(R8&lt;&gt;"",SUMPRODUCT(--(R8=Events!$A$3:$A$100),--(Events!$B$3:$B$100&lt;&gt;""))&gt;0)</xm:f>
            <x14:dxf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166" id="{C2C7FBD9-B613-4A62-B39E-D09FB5EC4139}">
            <xm:f>AND(Q7&lt;&gt;"",0&lt;SUMPRODUCT(1*(Events!$A$3:$A$100&lt;Q7),1*(Events!$B$3:$B$100&gt;Q7)))</xm:f>
            <x14:dxf>
              <border>
                <left/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167" id="{3EAB86C8-6CA6-4AD6-9D33-55BCC6DAC5FF}">
            <xm:f>AND(R8&lt;&gt;"",MATCH(R8,Events!$B$3:$B$100,0))</xm:f>
            <x14:dxf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168" id="{650D09FF-87A3-4233-9F13-218FFFB932DD}">
            <xm:f>AND(Settings!$C$15,R8&lt;&gt;"",OR(0&lt;SUMPRODUCT(1*(Settings!$A$15=Events!$D$3:$D$100),1*(R8=Events!$A$3:$A$100)),0&lt;SUMPRODUCT(1*(Settings!$A$15=Events!$D$3:$D$100),1*(R8&gt;=Events!$A$3:$A$100),1*(R8&lt;=Events!$B$3:$B$100))))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169" id="{9A5C8A5C-C3AB-45A8-A2B1-7ED9F68449B5}">
            <xm:f>AND(Settings!$C$16,R8&lt;&gt;"",OR(0&lt;SUMPRODUCT(1*(Settings!$A$16=Events!$D$3:$D$100),1*(R8=Events!$A$3:$A$100)),0&lt;SUMPRODUCT(1*(Settings!$A$16=Events!$D$3:$D$100),1*(R8&gt;=Events!$A$3:$A$100),1*(R8&lt;=Events!$B$3:$B$100))))</xm:f>
            <x14:dxf>
              <font>
                <b/>
                <i val="0"/>
                <color theme="0"/>
              </font>
              <fill>
                <patternFill>
                  <bgColor rgb="FF00A9CE"/>
                </patternFill>
              </fill>
            </x14:dxf>
          </x14:cfRule>
          <x14:cfRule type="expression" priority="170" id="{AF9AF3D1-3145-4C3C-A9B8-EA648C09311E}">
            <xm:f>AND(Settings!$C$17,R8&lt;&gt;"",OR(0&lt;SUMPRODUCT(1*(Settings!$A$17=Events!$D$3:$D$100),1*(R8=Events!$A$3:$A$100)),0&lt;SUMPRODUCT(1*(Settings!$A$17=Events!$D$3:$D$100),1*(R8&gt;=Events!$A$3:$A$100),1*(R8&lt;=Events!$B$3:$B$100))))</xm:f>
            <x14:dxf>
              <font>
                <b/>
                <i val="0"/>
                <color theme="0"/>
              </font>
              <fill>
                <patternFill>
                  <bgColor rgb="FF84BD00"/>
                </patternFill>
              </fill>
            </x14:dxf>
          </x14:cfRule>
          <x14:cfRule type="expression" priority="171" id="{68F5BE0D-6562-425A-9BB3-22F5C7627871}">
            <xm:f>AND(Settings!$C$18,R8&lt;&gt;"",OR(0&lt;SUMPRODUCT(1*(Settings!$A$18=Events!$D$3:$D$100),1*(R8=Events!$A$3:$A$100)),0&lt;SUMPRODUCT(1*(Settings!$A$18=Events!$D$3:$D$100),1*(R8&gt;=Events!$A$3:$A$100),1*(R8&lt;=Events!$B$3:$B$100))))</xm:f>
            <x14:dxf>
              <font>
                <b/>
                <i val="0"/>
                <color theme="0"/>
              </font>
              <fill>
                <patternFill>
                  <bgColor rgb="FF84BD00"/>
                </patternFill>
              </fill>
            </x14:dxf>
          </x14:cfRule>
          <x14:cfRule type="expression" priority="172" id="{BB069237-D311-4990-8164-1C4919363180}">
            <xm:f>AND(Settings!$C$19,R8&lt;&gt;"",OR(0&lt;SUMPRODUCT(1*(Settings!$A$19=Events!$D$3:$D$100),1*(R8=Events!$A$3:$A$100)),0&lt;SUMPRODUCT(1*(Settings!$A$19=Events!$D$3:$D$100),1*(R8&gt;=Events!$A$3:$A$100),1*(R8&lt;=Events!$B$3:$B$100))))</xm:f>
            <x14:dxf>
              <font>
                <b/>
                <i val="0"/>
                <color theme="0"/>
              </font>
              <fill>
                <patternFill>
                  <bgColor rgb="FF02B7A7"/>
                </patternFill>
              </fill>
            </x14:dxf>
          </x14:cfRule>
          <x14:cfRule type="expression" priority="173" id="{D3039064-FD79-4868-A018-2B980809ECF7}">
            <xm:f>AND(Settings!$C$20,R8&lt;&gt;"",OR(0&lt;SUMPRODUCT(1*(Settings!$A$20=Events!$D$3:$D$100),1*(R8=Events!$A$3:$A$100)),0&lt;SUMPRODUCT(1*(Settings!$A$20=Events!$D$3:$D$100),1*(R8&gt;=Events!$A$3:$A$100),1*(R8&lt;=Events!$B$3:$B$100))))</xm:f>
            <x14:dxf>
              <font>
                <b/>
                <i val="0"/>
                <color theme="0"/>
              </font>
              <fill>
                <patternFill>
                  <bgColor rgb="FFD5B142"/>
                </patternFill>
              </fill>
            </x14:dxf>
          </x14:cfRule>
          <x14:cfRule type="expression" priority="174" id="{DE4F23FA-9A1F-422B-9063-D9B61DD9F848}">
            <xm:f>AND(Settings!$C$21,R8&lt;&gt;"",OR(0&lt;SUMPRODUCT(1*(Settings!$A$21=Events!$D$3:$D$100),1*(R8=Events!$A$3:$A$100)),0&lt;SUMPRODUCT(1*(Settings!$A$21=Events!$D$3:$D$100),1*(R8&gt;=Events!$A$3:$A$100),1*(R8&lt;=Events!$B$3:$B$100))))</xm:f>
            <x14:dxf>
              <font>
                <b/>
                <i val="0"/>
                <color theme="0"/>
              </font>
              <fill>
                <patternFill>
                  <bgColor rgb="FF00ADEE"/>
                </patternFill>
              </fill>
            </x14:dxf>
          </x14:cfRule>
          <x14:cfRule type="expression" priority="175" id="{77962252-D996-4E62-991E-890947A31837}">
            <xm:f>AND(Settings!$C$22,R8&lt;&gt;"",OR(0&lt;SUMPRODUCT(1*(Settings!$A$22=Events!$D$3:$D$100),1*(R8=Events!$A$3:$A$100)),0&lt;SUMPRODUCT(1*(Settings!$A$22=Events!$D$3:$D$100),1*(R8&gt;=Events!$A$3:$A$100),1*(R8&lt;=Events!$B$3:$B$100))))</xm:f>
            <x14:dxf>
              <font>
                <b/>
                <i val="0"/>
                <color auto="1"/>
              </font>
              <fill>
                <patternFill>
                  <bgColor rgb="FFD5E5EB"/>
                </patternFill>
              </fill>
            </x14:dxf>
          </x14:cfRule>
          <x14:cfRule type="expression" priority="176" id="{A49508ED-F709-46A4-9F9E-E52357C44CBF}">
            <xm:f>AND(Settings!$C$23,R8&lt;&gt;"",OR(0&lt;SUMPRODUCT(1*(Settings!$A$23=Events!$D$3:$D$100),1*(R8=Events!$A$3:$A$100)),0&lt;SUMPRODUCT(1*(Settings!$A$23=Events!$D$3:$D$100),1*(R8&gt;=Events!$A$3:$A$100),1*(R8&lt;=Events!$B$3:$B$100))))</xm:f>
            <x14:dxf>
              <font>
                <b/>
                <i val="0"/>
                <color theme="0"/>
              </font>
              <fill>
                <patternFill>
                  <bgColor rgb="FFC000C2"/>
                </patternFill>
              </fill>
            </x14:dxf>
          </x14:cfRule>
          <x14:cfRule type="expression" priority="177" id="{27E74E6D-AF24-478C-BAA5-413EEA688535}">
            <xm:f>AND(Settings!$C$24,R8&lt;&gt;"",OR(0&lt;SUMPRODUCT(1*(Settings!$A$24=Events!$D$3:$D$100),1*(R8=Events!$A$3:$A$100)),0&lt;SUMPRODUCT(1*(Settings!$A$24=Events!$D$3:$D$100),1*(R8&gt;=Events!$A$3:$A$100),1*(R8&lt;=Events!$B$3:$B$100))))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178" id="{5644F85A-8B69-4DAF-A81D-196FC5A4E2C5}">
            <xm:f>AND(Settings!$C$25,R8&lt;&gt;"",OR(0&lt;SUMPRODUCT(1*(Settings!$A$25=Events!$D$3:$D$100),1*(R8=Events!$A$3:$A$100)),0&lt;SUMPRODUCT(1*(Settings!$A$25=Events!$D$3:$D$100),1*(R8&gt;=Events!$A$3:$A$100),1*(R8&lt;=Events!$B$3:$B$100))))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179" id="{710CC6B9-2255-401D-8D9C-B3A124829891}">
            <xm:f>R$7=Settings!$B$7</xm:f>
            <x14:dxf>
              <fill>
                <patternFill>
                  <bgColor theme="0" tint="-0.14996795556505021"/>
                </patternFill>
              </fill>
            </x14:dxf>
          </x14:cfRule>
          <xm:sqref>R8:X13</xm:sqref>
        </x14:conditionalFormatting>
        <x14:conditionalFormatting xmlns:xm="http://schemas.microsoft.com/office/excel/2006/main">
          <x14:cfRule type="expression" priority="188" id="{7E7E5097-1295-4C8B-A9E7-F93FED829E41}">
            <xm:f>AND(Settings!$C$15,R17&lt;&gt;"",OR(0&lt;SUMPRODUCT(1*(Settings!$A$15=Events!$D$3:$D$100),1*(R17=Events!$A$3:$A$100)),0&lt;SUMPRODUCT(1*(Settings!$A$15=Events!$D$3:$D$100),1*(R17&gt;=Events!$A$3:$A$100),1*(R17&lt;=Events!$B$3:$B$100))))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182" stopIfTrue="1" id="{718BF3FD-B6C4-49F8-8CAF-47CA7D8BC28F}">
            <xm:f>AND(NOT(Settings!$C$10),R17&lt;&gt;"",OR(0&lt;SUMPRODUCT(1*(Settings!$A$10=Events!$E$3:$E$100),1*(R17=Events!$A$3:$A$100)),0&lt;SUMPRODUCT(1*(Settings!$A$10=Events!$E$3:$E$100),1*(R17&gt;=Events!$A$3:$A$100),1*(R17&lt;=Events!$B$3:$B$100))))</xm:f>
            <x14:dxf/>
          </x14:cfRule>
          <x14:cfRule type="expression" priority="183" stopIfTrue="1" id="{CD218D86-B096-4968-9F99-2AFACA8586B0}">
            <xm:f>AND(NOT(Settings!$C$11),R17&lt;&gt;"",OR(0&lt;SUMPRODUCT(1*(Settings!$A$11=Events!$E$3:$E$100),1*(R17=Events!$A$3:$A$100)),0&lt;SUMPRODUCT(1*(Settings!$A$11=Events!$E$3:$E$100),1*(R17&gt;=Events!$A$3:$A$100),1*(R17&lt;=Events!$B$3:$B$100))))</xm:f>
            <x14:dxf/>
          </x14:cfRule>
          <x14:cfRule type="expression" priority="184" stopIfTrue="1" id="{8FF97D9C-2AE8-47CB-B94A-09B079791F86}">
            <xm:f>AND(NOT(Settings!$C$12),R17&lt;&gt;"",OR(0&lt;SUMPRODUCT(1*(Settings!$A$12=Events!$E$3:$E$100),1*(R17=Events!$A$3:$A$100)),0&lt;SUMPRODUCT(1*(Settings!$A$12=Events!$E$3:$E$100),1*(R17&gt;=Events!$A$3:$A$100),1*(R17&lt;=Events!$B$3:$B$100))))</xm:f>
            <x14:dxf/>
          </x14:cfRule>
          <x14:cfRule type="expression" priority="185" id="{20FD8CB3-B5E0-47B2-85A2-C2283A7759A3}">
            <xm:f>AND(R17&lt;&gt;"",SUMPRODUCT(--(R17=Events!$A$3:$A$100),--(Events!$B$3:$B$100&lt;&gt;""))&gt;0)</xm:f>
            <x14:dxf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186" id="{69B6F9D5-9487-46BC-865D-28C5A62BA917}">
            <xm:f>AND(Q16&lt;&gt;"",0&lt;SUMPRODUCT(1*(Events!$A$3:$A$100&lt;Q16),1*(Events!$B$3:$B$100&gt;Q16)))</xm:f>
            <x14:dxf>
              <border>
                <left/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187" id="{AD3FCD2E-031F-4869-A9C9-EA4898E61DA1}">
            <xm:f>AND(R17&lt;&gt;"",MATCH(R17,Events!$B$3:$B$100,0))</xm:f>
            <x14:dxf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195" id="{1901BDDB-CC22-4831-9DDC-11DB8CE7ED6D}">
            <xm:f>AND(Settings!$C$22,R17&lt;&gt;"",OR(0&lt;SUMPRODUCT(1*(Settings!$A$22=Events!$D$3:$D$100),1*(R17=Events!$A$3:$A$100)),0&lt;SUMPRODUCT(1*(Settings!$A$22=Events!$D$3:$D$100),1*(R17&gt;=Events!$A$3:$A$100),1*(R17&lt;=Events!$B$3:$B$100))))</xm:f>
            <x14:dxf>
              <font>
                <b/>
                <i val="0"/>
                <color auto="1"/>
              </font>
              <fill>
                <patternFill>
                  <bgColor rgb="FFD5E5EB"/>
                </patternFill>
              </fill>
            </x14:dxf>
          </x14:cfRule>
          <x14:cfRule type="expression" priority="189" id="{FBF221AE-8738-4FBA-836A-23EA1AFFD50A}">
            <xm:f>AND(Settings!$C$16,R17&lt;&gt;"",OR(0&lt;SUMPRODUCT(1*(Settings!$A$16=Events!$D$3:$D$100),1*(R17=Events!$A$3:$A$100)),0&lt;SUMPRODUCT(1*(Settings!$A$16=Events!$D$3:$D$100),1*(R17&gt;=Events!$A$3:$A$100),1*(R17&lt;=Events!$B$3:$B$100))))</xm:f>
            <x14:dxf>
              <font>
                <b/>
                <i val="0"/>
                <color theme="0"/>
              </font>
              <fill>
                <patternFill>
                  <bgColor rgb="FF00A9CE"/>
                </patternFill>
              </fill>
            </x14:dxf>
          </x14:cfRule>
          <x14:cfRule type="expression" priority="190" id="{BD4CC6FA-EDA1-40C0-9A32-5C21A33AEA82}">
            <xm:f>AND(Settings!$C$17,R17&lt;&gt;"",OR(0&lt;SUMPRODUCT(1*(Settings!$A$17=Events!$D$3:$D$100),1*(R17=Events!$A$3:$A$100)),0&lt;SUMPRODUCT(1*(Settings!$A$17=Events!$D$3:$D$100),1*(R17&gt;=Events!$A$3:$A$100),1*(R17&lt;=Events!$B$3:$B$100))))</xm:f>
            <x14:dxf>
              <font>
                <b/>
                <i val="0"/>
                <color theme="0"/>
              </font>
              <fill>
                <patternFill>
                  <bgColor rgb="FF84BD00"/>
                </patternFill>
              </fill>
            </x14:dxf>
          </x14:cfRule>
          <x14:cfRule type="expression" priority="191" id="{18A85C3B-F748-40B7-916B-CA99F30EB793}">
            <xm:f>AND(Settings!$C$18,R17&lt;&gt;"",OR(0&lt;SUMPRODUCT(1*(Settings!$A$18=Events!$D$3:$D$100),1*(R17=Events!$A$3:$A$100)),0&lt;SUMPRODUCT(1*(Settings!$A$18=Events!$D$3:$D$100),1*(R17&gt;=Events!$A$3:$A$100),1*(R17&lt;=Events!$B$3:$B$100))))</xm:f>
            <x14:dxf>
              <font>
                <b/>
                <i val="0"/>
                <color theme="0"/>
              </font>
              <fill>
                <patternFill>
                  <bgColor rgb="FF84BD00"/>
                </patternFill>
              </fill>
            </x14:dxf>
          </x14:cfRule>
          <x14:cfRule type="expression" priority="192" id="{A885432C-1854-4B82-A65D-58DAA93A5666}">
            <xm:f>AND(Settings!$C$19,R17&lt;&gt;"",OR(0&lt;SUMPRODUCT(1*(Settings!$A$19=Events!$D$3:$D$100),1*(R17=Events!$A$3:$A$100)),0&lt;SUMPRODUCT(1*(Settings!$A$19=Events!$D$3:$D$100),1*(R17&gt;=Events!$A$3:$A$100),1*(R17&lt;=Events!$B$3:$B$100))))</xm:f>
            <x14:dxf>
              <font>
                <b/>
                <i val="0"/>
                <color theme="0"/>
              </font>
              <fill>
                <patternFill>
                  <bgColor rgb="FF02B7A7"/>
                </patternFill>
              </fill>
            </x14:dxf>
          </x14:cfRule>
          <x14:cfRule type="expression" priority="193" id="{80528191-A351-48FD-9020-74BDEBB9DBE8}">
            <xm:f>AND(Settings!$C$20,R17&lt;&gt;"",OR(0&lt;SUMPRODUCT(1*(Settings!$A$20=Events!$D$3:$D$100),1*(R17=Events!$A$3:$A$100)),0&lt;SUMPRODUCT(1*(Settings!$A$20=Events!$D$3:$D$100),1*(R17&gt;=Events!$A$3:$A$100),1*(R17&lt;=Events!$B$3:$B$100))))</xm:f>
            <x14:dxf>
              <font>
                <b/>
                <i val="0"/>
                <color theme="0"/>
              </font>
              <fill>
                <patternFill>
                  <bgColor rgb="FFD5B142"/>
                </patternFill>
              </fill>
            </x14:dxf>
          </x14:cfRule>
          <x14:cfRule type="expression" priority="194" id="{88D9A03E-77EE-4384-A313-4F718A415D73}">
            <xm:f>AND(Settings!$C$21,R17&lt;&gt;"",OR(0&lt;SUMPRODUCT(1*(Settings!$A$21=Events!$D$3:$D$100),1*(R17=Events!$A$3:$A$100)),0&lt;SUMPRODUCT(1*(Settings!$A$21=Events!$D$3:$D$100),1*(R17&gt;=Events!$A$3:$A$100),1*(R17&lt;=Events!$B$3:$B$100))))</xm:f>
            <x14:dxf>
              <font>
                <b/>
                <i val="0"/>
                <color theme="0"/>
              </font>
              <fill>
                <patternFill>
                  <bgColor rgb="FF00ADEE"/>
                </patternFill>
              </fill>
            </x14:dxf>
          </x14:cfRule>
          <x14:cfRule type="expression" priority="181" id="{7E0A5F34-88E2-42A9-824B-10EAAEAFC2CF}">
            <xm:f>AND(Settings!$C$26,R17&lt;&gt;"",OR(0&lt;SUMPRODUCT(1*(Settings!$A$26=Events!$D$3:$D$100),1*(R17=Events!$A$3:$A$100)),0&lt;SUMPRODUCT(1*(Settings!$A$26=Events!$D$3:$D$100),1*(R17&gt;=Events!$A$3:$A$100),1*(R17&lt;=Events!$B$3:$B$100))))</xm:f>
            <x14:dxf>
              <font>
                <b val="0"/>
                <i val="0"/>
                <color theme="0"/>
              </font>
              <fill>
                <patternFill>
                  <bgColor rgb="FF787D81"/>
                </patternFill>
              </fill>
            </x14:dxf>
          </x14:cfRule>
          <x14:cfRule type="expression" priority="196" id="{1AE2B826-08AD-4E65-8638-58C12373AFC7}">
            <xm:f>AND(Settings!$C$23,R17&lt;&gt;"",OR(0&lt;SUMPRODUCT(1*(Settings!$A$23=Events!$D$3:$D$100),1*(R17=Events!$A$3:$A$100)),0&lt;SUMPRODUCT(1*(Settings!$A$23=Events!$D$3:$D$100),1*(R17&gt;=Events!$A$3:$A$100),1*(R17&lt;=Events!$B$3:$B$100))))</xm:f>
            <x14:dxf>
              <font>
                <b/>
                <i val="0"/>
                <color theme="0"/>
              </font>
              <fill>
                <patternFill>
                  <bgColor rgb="FFC000C2"/>
                </patternFill>
              </fill>
            </x14:dxf>
          </x14:cfRule>
          <x14:cfRule type="expression" priority="197" id="{CCDEC4FE-3105-4199-A05B-42E07841AE74}">
            <xm:f>AND(Settings!$C$24,R17&lt;&gt;"",OR(0&lt;SUMPRODUCT(1*(Settings!$A$24=Events!$D$3:$D$100),1*(R17=Events!$A$3:$A$100)),0&lt;SUMPRODUCT(1*(Settings!$A$24=Events!$D$3:$D$100),1*(R17&gt;=Events!$A$3:$A$100),1*(R17&lt;=Events!$B$3:$B$100))))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198" id="{580E1117-D7C1-4937-89A7-98E708592271}">
            <xm:f>AND(Settings!$C$25,R17&lt;&gt;"",OR(0&lt;SUMPRODUCT(1*(Settings!$A$25=Events!$D$3:$D$100),1*(R17=Events!$A$3:$A$100)),0&lt;SUMPRODUCT(1*(Settings!$A$25=Events!$D$3:$D$100),1*(R17&gt;=Events!$A$3:$A$100),1*(R17&lt;=Events!$B$3:$B$100))))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199" id="{DF6A4AA4-1FDD-4EE1-8A4C-95D4D6EF3DDB}">
            <xm:f>R$7=Settings!$B$7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200" id="{2C3D8FE9-EB04-423B-8732-5F69A84DE0B5}">
            <xm:f>R$7=Settings!$B$8</xm:f>
            <x14:dxf>
              <fill>
                <patternFill>
                  <bgColor theme="0" tint="-0.14996795556505021"/>
                </patternFill>
              </fill>
            </x14:dxf>
          </x14:cfRule>
          <xm:sqref>R17:X22</xm:sqref>
        </x14:conditionalFormatting>
        <x14:conditionalFormatting xmlns:xm="http://schemas.microsoft.com/office/excel/2006/main">
          <x14:cfRule type="expression" priority="79" id="{90F0BC85-548B-4897-B578-7C53232690A8}">
            <xm:f>R$7=Settings!$B$7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78" id="{D86F290D-8602-471C-9830-EEB1660CADA2}">
            <xm:f>AND(Settings!$C$25,R26&lt;&gt;"",OR(0&lt;SUMPRODUCT(1*(Settings!$A$25=Events!$D$3:$D$100),1*(R26=Events!$A$3:$A$100)),0&lt;SUMPRODUCT(1*(Settings!$A$25=Events!$D$3:$D$100),1*(R26&gt;=Events!$A$3:$A$100),1*(R26&lt;=Events!$B$3:$B$100))))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77" id="{E32D2A7C-6BE6-4419-B335-D04D7491E4AC}">
            <xm:f>AND(Settings!$C$24,R26&lt;&gt;"",OR(0&lt;SUMPRODUCT(1*(Settings!$A$24=Events!$D$3:$D$100),1*(R26=Events!$A$3:$A$100)),0&lt;SUMPRODUCT(1*(Settings!$A$24=Events!$D$3:$D$100),1*(R26&gt;=Events!$A$3:$A$100),1*(R26&lt;=Events!$B$3:$B$100))))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76" id="{214067C4-98BD-4D3F-B11B-F8C00D3DAC47}">
            <xm:f>AND(Settings!$C$23,R26&lt;&gt;"",OR(0&lt;SUMPRODUCT(1*(Settings!$A$23=Events!$D$3:$D$100),1*(R26=Events!$A$3:$A$100)),0&lt;SUMPRODUCT(1*(Settings!$A$23=Events!$D$3:$D$100),1*(R26&gt;=Events!$A$3:$A$100),1*(R26&lt;=Events!$B$3:$B$100))))</xm:f>
            <x14:dxf>
              <font>
                <b/>
                <i val="0"/>
                <color theme="0"/>
              </font>
              <fill>
                <patternFill>
                  <bgColor rgb="FFC000C2"/>
                </patternFill>
              </fill>
            </x14:dxf>
          </x14:cfRule>
          <x14:cfRule type="expression" priority="75" id="{77B79F77-E69A-4342-8EDF-357299B1E8B2}">
            <xm:f>AND(Settings!$C$22,R26&lt;&gt;"",OR(0&lt;SUMPRODUCT(1*(Settings!$A$22=Events!$D$3:$D$100),1*(R26=Events!$A$3:$A$100)),0&lt;SUMPRODUCT(1*(Settings!$A$22=Events!$D$3:$D$100),1*(R26&gt;=Events!$A$3:$A$100),1*(R26&lt;=Events!$B$3:$B$100))))</xm:f>
            <x14:dxf>
              <font>
                <b/>
                <i val="0"/>
                <color auto="1"/>
              </font>
              <fill>
                <patternFill>
                  <bgColor rgb="FFD5E5EB"/>
                </patternFill>
              </fill>
            </x14:dxf>
          </x14:cfRule>
          <x14:cfRule type="expression" priority="74" id="{78D6D0FA-621B-4E44-929E-AF3D77A6B897}">
            <xm:f>AND(Settings!$C$21,R26&lt;&gt;"",OR(0&lt;SUMPRODUCT(1*(Settings!$A$21=Events!$D$3:$D$100),1*(R26=Events!$A$3:$A$100)),0&lt;SUMPRODUCT(1*(Settings!$A$21=Events!$D$3:$D$100),1*(R26&gt;=Events!$A$3:$A$100),1*(R26&lt;=Events!$B$3:$B$100))))</xm:f>
            <x14:dxf>
              <font>
                <b/>
                <i val="0"/>
                <color theme="0"/>
              </font>
              <fill>
                <patternFill>
                  <bgColor rgb="FF00ADEE"/>
                </patternFill>
              </fill>
            </x14:dxf>
          </x14:cfRule>
          <x14:cfRule type="expression" priority="73" id="{3DB02F0A-55E2-4F50-B88F-2D6886D853D9}">
            <xm:f>AND(Settings!$C$20,R26&lt;&gt;"",OR(0&lt;SUMPRODUCT(1*(Settings!$A$20=Events!$D$3:$D$100),1*(R26=Events!$A$3:$A$100)),0&lt;SUMPRODUCT(1*(Settings!$A$20=Events!$D$3:$D$100),1*(R26&gt;=Events!$A$3:$A$100),1*(R26&lt;=Events!$B$3:$B$100))))</xm:f>
            <x14:dxf>
              <font>
                <b/>
                <i val="0"/>
                <color theme="0"/>
              </font>
              <fill>
                <patternFill>
                  <bgColor rgb="FFD5B142"/>
                </patternFill>
              </fill>
            </x14:dxf>
          </x14:cfRule>
          <x14:cfRule type="expression" priority="72" id="{F79D8413-80C2-4AE8-8BEC-C3D82286CF69}">
            <xm:f>AND(Settings!$C$19,R26&lt;&gt;"",OR(0&lt;SUMPRODUCT(1*(Settings!$A$19=Events!$D$3:$D$100),1*(R26=Events!$A$3:$A$100)),0&lt;SUMPRODUCT(1*(Settings!$A$19=Events!$D$3:$D$100),1*(R26&gt;=Events!$A$3:$A$100),1*(R26&lt;=Events!$B$3:$B$100))))</xm:f>
            <x14:dxf>
              <font>
                <b/>
                <i val="0"/>
                <color theme="0"/>
              </font>
              <fill>
                <patternFill>
                  <bgColor rgb="FF02B7A7"/>
                </patternFill>
              </fill>
            </x14:dxf>
          </x14:cfRule>
          <x14:cfRule type="expression" priority="71" id="{C2441391-6634-41BF-8E8F-55F412B7248D}">
            <xm:f>AND(Settings!$C$18,R26&lt;&gt;"",OR(0&lt;SUMPRODUCT(1*(Settings!$A$18=Events!$D$3:$D$100),1*(R26=Events!$A$3:$A$100)),0&lt;SUMPRODUCT(1*(Settings!$A$18=Events!$D$3:$D$100),1*(R26&gt;=Events!$A$3:$A$100),1*(R26&lt;=Events!$B$3:$B$100))))</xm:f>
            <x14:dxf>
              <font>
                <b/>
                <i val="0"/>
                <color theme="0"/>
              </font>
              <fill>
                <patternFill>
                  <bgColor rgb="FF84BD00"/>
                </patternFill>
              </fill>
            </x14:dxf>
          </x14:cfRule>
          <x14:cfRule type="expression" priority="80" id="{D38F9F61-C7BD-4549-A5E7-9B5566FD39DC}">
            <xm:f>R$7=Settings!$B$8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70" id="{B0CDEAB5-812B-46C9-8F41-DBC256D7A85F}">
            <xm:f>AND(Settings!$C$17,R26&lt;&gt;"",OR(0&lt;SUMPRODUCT(1*(Settings!$A$17=Events!$D$3:$D$100),1*(R26=Events!$A$3:$A$100)),0&lt;SUMPRODUCT(1*(Settings!$A$17=Events!$D$3:$D$100),1*(R26&gt;=Events!$A$3:$A$100),1*(R26&lt;=Events!$B$3:$B$100))))</xm:f>
            <x14:dxf>
              <font>
                <b/>
                <i val="0"/>
                <color theme="0"/>
              </font>
              <fill>
                <patternFill>
                  <bgColor rgb="FF84BD00"/>
                </patternFill>
              </fill>
            </x14:dxf>
          </x14:cfRule>
          <x14:cfRule type="expression" priority="69" id="{06101C7B-F99F-48B4-BD0E-6073482A8759}">
            <xm:f>AND(Settings!$C$16,R26&lt;&gt;"",OR(0&lt;SUMPRODUCT(1*(Settings!$A$16=Events!$D$3:$D$100),1*(R26=Events!$A$3:$A$100)),0&lt;SUMPRODUCT(1*(Settings!$A$16=Events!$D$3:$D$100),1*(R26&gt;=Events!$A$3:$A$100),1*(R26&lt;=Events!$B$3:$B$100))))</xm:f>
            <x14:dxf>
              <font>
                <b/>
                <i val="0"/>
                <color theme="0"/>
              </font>
              <fill>
                <patternFill>
                  <bgColor rgb="FF00A9CE"/>
                </patternFill>
              </fill>
            </x14:dxf>
          </x14:cfRule>
          <x14:cfRule type="expression" priority="68" id="{EEBDCEBF-481C-4025-9C54-709B79763CEA}">
            <xm:f>AND(Settings!$C$15,R26&lt;&gt;"",OR(0&lt;SUMPRODUCT(1*(Settings!$A$15=Events!$D$3:$D$100),1*(R26=Events!$A$3:$A$100)),0&lt;SUMPRODUCT(1*(Settings!$A$15=Events!$D$3:$D$100),1*(R26&gt;=Events!$A$3:$A$100),1*(R26&lt;=Events!$B$3:$B$100))))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67" id="{966CE230-793E-4C7F-B238-DEBB9ED9360E}">
            <xm:f>AND(R26&lt;&gt;"",MATCH(R26,Events!$B$3:$B$100,0))</xm:f>
            <x14:dxf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66" id="{99A8C6D5-57B0-4A96-9667-01EC15A72BB1}">
            <xm:f>AND(Q25&lt;&gt;"",0&lt;SUMPRODUCT(1*(Events!$A$3:$A$100&lt;Q25),1*(Events!$B$3:$B$100&gt;Q25)))</xm:f>
            <x14:dxf>
              <border>
                <left/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65" id="{8B7697C7-6C50-4E7F-84DC-46DFB816F8AC}">
            <xm:f>AND(R26&lt;&gt;"",SUMPRODUCT(--(R26=Events!$A$3:$A$100),--(Events!$B$3:$B$100&lt;&gt;""))&gt;0)</xm:f>
            <x14:dxf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64" stopIfTrue="1" id="{5FA259D2-F51E-4B11-B950-D2F94555A66B}">
            <xm:f>AND(NOT(Settings!$C$12),R26&lt;&gt;"",OR(0&lt;SUMPRODUCT(1*(Settings!$A$12=Events!$E$3:$E$100),1*(R26=Events!$A$3:$A$100)),0&lt;SUMPRODUCT(1*(Settings!$A$12=Events!$E$3:$E$100),1*(R26&gt;=Events!$A$3:$A$100),1*(R26&lt;=Events!$B$3:$B$100))))</xm:f>
            <x14:dxf/>
          </x14:cfRule>
          <x14:cfRule type="expression" priority="63" stopIfTrue="1" id="{3FEA36AE-DE55-4793-8D6D-4FD54455EA60}">
            <xm:f>AND(NOT(Settings!$C$11),R26&lt;&gt;"",OR(0&lt;SUMPRODUCT(1*(Settings!$A$11=Events!$E$3:$E$100),1*(R26=Events!$A$3:$A$100)),0&lt;SUMPRODUCT(1*(Settings!$A$11=Events!$E$3:$E$100),1*(R26&gt;=Events!$A$3:$A$100),1*(R26&lt;=Events!$B$3:$B$100))))</xm:f>
            <x14:dxf/>
          </x14:cfRule>
          <x14:cfRule type="expression" priority="62" stopIfTrue="1" id="{588409B4-02EE-4610-BE11-DDA5B53B367C}">
            <xm:f>AND(NOT(Settings!$C$10),R26&lt;&gt;"",OR(0&lt;SUMPRODUCT(1*(Settings!$A$10=Events!$E$3:$E$100),1*(R26=Events!$A$3:$A$100)),0&lt;SUMPRODUCT(1*(Settings!$A$10=Events!$E$3:$E$100),1*(R26&gt;=Events!$A$3:$A$100),1*(R26&lt;=Events!$B$3:$B$100))))</xm:f>
            <x14:dxf/>
          </x14:cfRule>
          <x14:cfRule type="expression" priority="61" id="{8070E005-4865-4A11-A784-56F455F0A970}">
            <xm:f>AND(Settings!$C$26,R26&lt;&gt;"",OR(0&lt;SUMPRODUCT(1*(Settings!$A$26=Events!$D$3:$D$100),1*(R26=Events!$A$3:$A$100)),0&lt;SUMPRODUCT(1*(Settings!$A$26=Events!$D$3:$D$100),1*(R26&gt;=Events!$A$3:$A$100),1*(R26&lt;=Events!$B$3:$B$100))))</xm:f>
            <x14:dxf>
              <font>
                <b val="0"/>
                <i val="0"/>
                <color theme="0"/>
              </font>
              <fill>
                <patternFill>
                  <bgColor rgb="FF787D81"/>
                </patternFill>
              </fill>
            </x14:dxf>
          </x14:cfRule>
          <xm:sqref>R26:X31</xm:sqref>
        </x14:conditionalFormatting>
        <x14:conditionalFormatting xmlns:xm="http://schemas.microsoft.com/office/excel/2006/main">
          <x14:cfRule type="expression" priority="16" id="{8ED358BC-AD72-4810-A6BF-7BEFE6548F30}">
            <xm:f>AND(Settings!$C$23,R35&lt;&gt;"",OR(0&lt;SUMPRODUCT(1*(Settings!$A$23=Events!$D$3:$D$100),1*(R35=Events!$A$3:$A$100)),0&lt;SUMPRODUCT(1*(Settings!$A$23=Events!$D$3:$D$100),1*(R35&gt;=Events!$A$3:$A$100),1*(R35&lt;=Events!$B$3:$B$100))))</xm:f>
            <x14:dxf>
              <font>
                <b/>
                <i val="0"/>
                <color theme="0"/>
              </font>
              <fill>
                <patternFill>
                  <bgColor rgb="FFC000C2"/>
                </patternFill>
              </fill>
            </x14:dxf>
          </x14:cfRule>
          <x14:cfRule type="expression" priority="20" id="{996CBCA7-CFD1-4264-9C8B-985A64425D95}">
            <xm:f>R$7=Settings!$B$8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19" id="{A280FE4D-754C-469B-ABA7-50C2764F3F8A}">
            <xm:f>R$7=Settings!$B$7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18" id="{BD6F47EF-8D3C-40F7-AAA4-52A28B57419A}">
            <xm:f>AND(Settings!$C$25,R35&lt;&gt;"",OR(0&lt;SUMPRODUCT(1*(Settings!$A$25=Events!$D$3:$D$100),1*(R35=Events!$A$3:$A$100)),0&lt;SUMPRODUCT(1*(Settings!$A$25=Events!$D$3:$D$100),1*(R35&gt;=Events!$A$3:$A$100),1*(R35&lt;=Events!$B$3:$B$100))))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2" stopIfTrue="1" id="{17379207-2BB8-4A8D-A1EB-308B9F8900A3}">
            <xm:f>AND(NOT(Settings!$C$10),R35&lt;&gt;"",OR(0&lt;SUMPRODUCT(1*(Settings!$A$10=Events!$E$3:$E$100),1*(R35=Events!$A$3:$A$100)),0&lt;SUMPRODUCT(1*(Settings!$A$10=Events!$E$3:$E$100),1*(R35&gt;=Events!$A$3:$A$100),1*(R35&lt;=Events!$B$3:$B$100))))</xm:f>
            <x14:dxf/>
          </x14:cfRule>
          <x14:cfRule type="expression" priority="1" id="{4EF0E8C1-E2A7-4B81-A3D9-C743A47CB8A9}">
            <xm:f>AND(Settings!$C$26,R35&lt;&gt;"",OR(0&lt;SUMPRODUCT(1*(Settings!$A$26=Events!$D$3:$D$100),1*(R35=Events!$A$3:$A$100)),0&lt;SUMPRODUCT(1*(Settings!$A$26=Events!$D$3:$D$100),1*(R35&gt;=Events!$A$3:$A$100),1*(R35&lt;=Events!$B$3:$B$100))))</xm:f>
            <x14:dxf>
              <font>
                <b val="0"/>
                <i val="0"/>
                <color theme="0"/>
              </font>
              <fill>
                <patternFill>
                  <bgColor rgb="FF787D81"/>
                </patternFill>
              </fill>
            </x14:dxf>
          </x14:cfRule>
          <x14:cfRule type="expression" priority="15" id="{BB40A3C4-6341-4569-A918-579FA4A3FB42}">
            <xm:f>AND(Settings!$C$22,R35&lt;&gt;"",OR(0&lt;SUMPRODUCT(1*(Settings!$A$22=Events!$D$3:$D$100),1*(R35=Events!$A$3:$A$100)),0&lt;SUMPRODUCT(1*(Settings!$A$22=Events!$D$3:$D$100),1*(R35&gt;=Events!$A$3:$A$100),1*(R35&lt;=Events!$B$3:$B$100))))</xm:f>
            <x14:dxf>
              <font>
                <b/>
                <i val="0"/>
                <color auto="1"/>
              </font>
              <fill>
                <patternFill>
                  <bgColor rgb="FFD5E5EB"/>
                </patternFill>
              </fill>
            </x14:dxf>
          </x14:cfRule>
          <x14:cfRule type="expression" priority="14" id="{7908CF26-D845-488A-957E-B0406FA540BF}">
            <xm:f>AND(Settings!$C$21,R35&lt;&gt;"",OR(0&lt;SUMPRODUCT(1*(Settings!$A$21=Events!$D$3:$D$100),1*(R35=Events!$A$3:$A$100)),0&lt;SUMPRODUCT(1*(Settings!$A$21=Events!$D$3:$D$100),1*(R35&gt;=Events!$A$3:$A$100),1*(R35&lt;=Events!$B$3:$B$100))))</xm:f>
            <x14:dxf>
              <font>
                <b/>
                <i val="0"/>
                <color theme="0"/>
              </font>
              <fill>
                <patternFill>
                  <bgColor rgb="FF00ADEE"/>
                </patternFill>
              </fill>
            </x14:dxf>
          </x14:cfRule>
          <x14:cfRule type="expression" priority="13" id="{69B1C941-4387-464F-A3DA-B3A2F08D0244}">
            <xm:f>AND(Settings!$C$20,R35&lt;&gt;"",OR(0&lt;SUMPRODUCT(1*(Settings!$A$20=Events!$D$3:$D$100),1*(R35=Events!$A$3:$A$100)),0&lt;SUMPRODUCT(1*(Settings!$A$20=Events!$D$3:$D$100),1*(R35&gt;=Events!$A$3:$A$100),1*(R35&lt;=Events!$B$3:$B$100))))</xm:f>
            <x14:dxf>
              <font>
                <b/>
                <i val="0"/>
                <color theme="0"/>
              </font>
              <fill>
                <patternFill>
                  <bgColor rgb="FFD5B142"/>
                </patternFill>
              </fill>
            </x14:dxf>
          </x14:cfRule>
          <x14:cfRule type="expression" priority="12" id="{3BBDBA7B-AEA7-4D5D-985C-32BFB0071E21}">
            <xm:f>AND(Settings!$C$19,R35&lt;&gt;"",OR(0&lt;SUMPRODUCT(1*(Settings!$A$19=Events!$D$3:$D$100),1*(R35=Events!$A$3:$A$100)),0&lt;SUMPRODUCT(1*(Settings!$A$19=Events!$D$3:$D$100),1*(R35&gt;=Events!$A$3:$A$100),1*(R35&lt;=Events!$B$3:$B$100))))</xm:f>
            <x14:dxf>
              <font>
                <b/>
                <i val="0"/>
                <color theme="0"/>
              </font>
              <fill>
                <patternFill>
                  <bgColor rgb="FF02B7A7"/>
                </patternFill>
              </fill>
            </x14:dxf>
          </x14:cfRule>
          <x14:cfRule type="expression" priority="11" id="{F27B533E-A717-4E4D-922C-966E7AD9B601}">
            <xm:f>AND(Settings!$C$18,R35&lt;&gt;"",OR(0&lt;SUMPRODUCT(1*(Settings!$A$18=Events!$D$3:$D$100),1*(R35=Events!$A$3:$A$100)),0&lt;SUMPRODUCT(1*(Settings!$A$18=Events!$D$3:$D$100),1*(R35&gt;=Events!$A$3:$A$100),1*(R35&lt;=Events!$B$3:$B$100))))</xm:f>
            <x14:dxf>
              <font>
                <b/>
                <i val="0"/>
                <color theme="0"/>
              </font>
              <fill>
                <patternFill>
                  <bgColor rgb="FF84BD00"/>
                </patternFill>
              </fill>
            </x14:dxf>
          </x14:cfRule>
          <x14:cfRule type="expression" priority="10" id="{F7E485B3-213D-43C7-B6C4-C9B79FC06ED0}">
            <xm:f>AND(Settings!$C$17,R35&lt;&gt;"",OR(0&lt;SUMPRODUCT(1*(Settings!$A$17=Events!$D$3:$D$100),1*(R35=Events!$A$3:$A$100)),0&lt;SUMPRODUCT(1*(Settings!$A$17=Events!$D$3:$D$100),1*(R35&gt;=Events!$A$3:$A$100),1*(R35&lt;=Events!$B$3:$B$100))))</xm:f>
            <x14:dxf>
              <font>
                <b/>
                <i val="0"/>
                <color theme="0"/>
              </font>
              <fill>
                <patternFill>
                  <bgColor rgb="FF84BD00"/>
                </patternFill>
              </fill>
            </x14:dxf>
          </x14:cfRule>
          <x14:cfRule type="expression" priority="17" id="{08291C95-1D4A-4BED-B577-9FA326DA9CD7}">
            <xm:f>AND(Settings!$C$24,R35&lt;&gt;"",OR(0&lt;SUMPRODUCT(1*(Settings!$A$24=Events!$D$3:$D$100),1*(R35=Events!$A$3:$A$100)),0&lt;SUMPRODUCT(1*(Settings!$A$24=Events!$D$3:$D$100),1*(R35&gt;=Events!$A$3:$A$100),1*(R35&lt;=Events!$B$3:$B$100))))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8" id="{033C1036-9AF6-4D91-87A3-C5808CB648C6}">
            <xm:f>AND(Settings!$C$15,R35&lt;&gt;"",OR(0&lt;SUMPRODUCT(1*(Settings!$A$15=Events!$D$3:$D$100),1*(R35=Events!$A$3:$A$100)),0&lt;SUMPRODUCT(1*(Settings!$A$15=Events!$D$3:$D$100),1*(R35&gt;=Events!$A$3:$A$100),1*(R35&lt;=Events!$B$3:$B$100))))</xm:f>
            <x14:dxf>
              <font>
                <b/>
                <i val="0"/>
                <color theme="0"/>
              </font>
              <fill>
                <patternFill>
                  <bgColor rgb="FF003087"/>
                </patternFill>
              </fill>
            </x14:dxf>
          </x14:cfRule>
          <x14:cfRule type="expression" priority="7" id="{C2D1D065-C86F-44AC-A45E-4D7EC3F66A6E}">
            <xm:f>AND(R35&lt;&gt;"",MATCH(R35,Events!$B$3:$B$100,0))</xm:f>
            <x14:dxf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6" id="{9B63F836-64CE-47CA-AAF1-40A5BDF4944A}">
            <xm:f>AND(Q34&lt;&gt;"",0&lt;SUMPRODUCT(1*(Events!$A$3:$A$100&lt;Q34),1*(Events!$B$3:$B$100&gt;Q34)))</xm:f>
            <x14:dxf>
              <border>
                <left/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5" id="{3A0A27EC-BE3A-4874-936E-94C53CE4C349}">
            <xm:f>AND(R35&lt;&gt;"",SUMPRODUCT(--(R35=Events!$A$3:$A$100),--(Events!$B$3:$B$100&lt;&gt;""))&gt;0)</xm:f>
            <x14:dxf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4" stopIfTrue="1" id="{B6800001-4EAF-409D-BC8A-FA4DFD74177E}">
            <xm:f>AND(NOT(Settings!$C$12),R35&lt;&gt;"",OR(0&lt;SUMPRODUCT(1*(Settings!$A$12=Events!$E$3:$E$100),1*(R35=Events!$A$3:$A$100)),0&lt;SUMPRODUCT(1*(Settings!$A$12=Events!$E$3:$E$100),1*(R35&gt;=Events!$A$3:$A$100),1*(R35&lt;=Events!$B$3:$B$100))))</xm:f>
            <x14:dxf/>
          </x14:cfRule>
          <x14:cfRule type="expression" priority="3" stopIfTrue="1" id="{4704A8BA-92F7-40C8-86A6-9F2542B1125E}">
            <xm:f>AND(NOT(Settings!$C$11),R35&lt;&gt;"",OR(0&lt;SUMPRODUCT(1*(Settings!$A$11=Events!$E$3:$E$100),1*(R35=Events!$A$3:$A$100)),0&lt;SUMPRODUCT(1*(Settings!$A$11=Events!$E$3:$E$100),1*(R35&gt;=Events!$A$3:$A$100),1*(R35&lt;=Events!$B$3:$B$100))))</xm:f>
            <x14:dxf/>
          </x14:cfRule>
          <x14:cfRule type="expression" priority="9" id="{78ACBC8B-8DD5-452B-B3AF-4539A697CD3B}">
            <xm:f>AND(Settings!$C$16,R35&lt;&gt;"",OR(0&lt;SUMPRODUCT(1*(Settings!$A$16=Events!$D$3:$D$100),1*(R35=Events!$A$3:$A$100)),0&lt;SUMPRODUCT(1*(Settings!$A$16=Events!$D$3:$D$100),1*(R35&gt;=Events!$A$3:$A$100),1*(R35&lt;=Events!$B$3:$B$100))))</xm:f>
            <x14:dxf>
              <font>
                <b/>
                <i val="0"/>
                <color theme="0"/>
              </font>
              <fill>
                <patternFill>
                  <bgColor rgb="FF00A9CE"/>
                </patternFill>
              </fill>
            </x14:dxf>
          </x14:cfRule>
          <xm:sqref>R35:X40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"/>
  <sheetViews>
    <sheetView workbookViewId="0">
      <selection activeCell="B85" sqref="B85"/>
    </sheetView>
  </sheetViews>
  <sheetFormatPr defaultColWidth="11" defaultRowHeight="14.25" x14ac:dyDescent="0.2"/>
  <cols>
    <col min="1" max="1" width="13.375" bestFit="1" customWidth="1"/>
    <col min="2" max="2" width="13" bestFit="1" customWidth="1"/>
    <col min="3" max="3" width="37" bestFit="1" customWidth="1"/>
    <col min="4" max="4" width="17.125" customWidth="1"/>
    <col min="5" max="5" width="13.375" customWidth="1"/>
  </cols>
  <sheetData>
    <row r="1" spans="1:10" ht="63" customHeight="1" x14ac:dyDescent="0.4">
      <c r="A1" s="15" t="s">
        <v>89</v>
      </c>
      <c r="B1" s="15"/>
      <c r="C1" s="15"/>
      <c r="D1" s="15"/>
      <c r="E1" s="15"/>
    </row>
    <row r="2" spans="1:10" ht="15.75" x14ac:dyDescent="0.25">
      <c r="A2" s="5" t="s">
        <v>30</v>
      </c>
      <c r="B2" s="5" t="s">
        <v>31</v>
      </c>
      <c r="C2" s="5" t="s">
        <v>32</v>
      </c>
      <c r="D2" s="5" t="s">
        <v>50</v>
      </c>
      <c r="E2" s="5" t="s">
        <v>36</v>
      </c>
    </row>
    <row r="3" spans="1:10" x14ac:dyDescent="0.2">
      <c r="A3" s="8">
        <v>45214</v>
      </c>
      <c r="B3" s="8"/>
      <c r="C3" s="6" t="s">
        <v>58</v>
      </c>
      <c r="D3" s="7" t="s">
        <v>33</v>
      </c>
      <c r="E3" s="7" t="s">
        <v>37</v>
      </c>
    </row>
    <row r="4" spans="1:10" x14ac:dyDescent="0.2">
      <c r="A4" s="8">
        <v>45226</v>
      </c>
      <c r="B4" s="8">
        <v>45228</v>
      </c>
      <c r="C4" s="6" t="s">
        <v>56</v>
      </c>
      <c r="D4" s="7" t="s">
        <v>33</v>
      </c>
      <c r="E4" s="7" t="s">
        <v>37</v>
      </c>
    </row>
    <row r="5" spans="1:10" x14ac:dyDescent="0.2">
      <c r="A5" s="8">
        <v>45408</v>
      </c>
      <c r="B5" s="8">
        <v>45410</v>
      </c>
      <c r="C5" s="6" t="s">
        <v>57</v>
      </c>
      <c r="D5" s="7" t="s">
        <v>33</v>
      </c>
      <c r="E5" s="7" t="s">
        <v>37</v>
      </c>
    </row>
    <row r="6" spans="1:10" x14ac:dyDescent="0.2">
      <c r="A6" s="8">
        <v>45465</v>
      </c>
      <c r="B6" s="8">
        <v>45469</v>
      </c>
      <c r="C6" s="6" t="s">
        <v>77</v>
      </c>
      <c r="D6" s="7" t="s">
        <v>51</v>
      </c>
      <c r="E6" s="7" t="s">
        <v>37</v>
      </c>
    </row>
    <row r="7" spans="1:10" x14ac:dyDescent="0.2">
      <c r="A7" s="8">
        <v>45466</v>
      </c>
      <c r="B7" s="8"/>
      <c r="C7" s="6" t="s">
        <v>65</v>
      </c>
      <c r="D7" s="7" t="s">
        <v>45</v>
      </c>
      <c r="E7" s="7" t="s">
        <v>37</v>
      </c>
    </row>
    <row r="8" spans="1:10" x14ac:dyDescent="0.2">
      <c r="A8" s="8">
        <v>45467</v>
      </c>
      <c r="B8" s="8">
        <v>45469</v>
      </c>
      <c r="C8" s="6" t="s">
        <v>68</v>
      </c>
      <c r="D8" s="7" t="s">
        <v>51</v>
      </c>
      <c r="E8" s="7" t="s">
        <v>37</v>
      </c>
    </row>
    <row r="9" spans="1:10" x14ac:dyDescent="0.2">
      <c r="A9" s="9">
        <f>IF(Settings!$C$3&gt;7,DATE(Settings!$B$2+1,7,1),DATE(Settings!$B$2,7,1))</f>
        <v>45474</v>
      </c>
      <c r="B9" s="9"/>
      <c r="C9" s="10" t="str">
        <f>"Canada Day (CAN) "&amp; YEAR(A9)</f>
        <v>Canada Day (CAN) 2024</v>
      </c>
      <c r="D9" s="11" t="s">
        <v>41</v>
      </c>
      <c r="E9" s="11" t="s">
        <v>37</v>
      </c>
    </row>
    <row r="10" spans="1:10" x14ac:dyDescent="0.2">
      <c r="A10" s="9">
        <f>IF(Settings!$C$3&gt;7,DATE(Settings!$B$2+1,7,4),DATE(Settings!$B$2,7,4))</f>
        <v>45477</v>
      </c>
      <c r="B10" s="9"/>
      <c r="C10" s="10" t="str">
        <f>"Independence day (US) "&amp; YEAR(A10)</f>
        <v>Independence day (US) 2024</v>
      </c>
      <c r="D10" s="11" t="s">
        <v>41</v>
      </c>
      <c r="E10" s="11" t="s">
        <v>37</v>
      </c>
      <c r="G10" s="12"/>
      <c r="H10" s="12"/>
      <c r="I10" s="12"/>
      <c r="J10" s="12"/>
    </row>
    <row r="11" spans="1:10" x14ac:dyDescent="0.2">
      <c r="A11" s="8">
        <v>45484</v>
      </c>
      <c r="B11" s="8"/>
      <c r="C11" s="6" t="s">
        <v>60</v>
      </c>
      <c r="D11" s="7" t="s">
        <v>44</v>
      </c>
      <c r="E11" s="7" t="s">
        <v>37</v>
      </c>
      <c r="G11" s="12"/>
      <c r="H11" s="12" t="s">
        <v>90</v>
      </c>
      <c r="I11" s="12"/>
      <c r="J11" s="12"/>
    </row>
    <row r="12" spans="1:10" x14ac:dyDescent="0.2">
      <c r="A12" s="8">
        <f>IF(Settings!$C$3&gt;7,DATE(Settings!$B$2+1,7,29)-WEEKDAY(DATE(Settings!$B$2+1,7,4)),DATE(Settings!$B$2,7,29)-WEEKDAY(DATE(Settings!$B$2,7,4)))</f>
        <v>45497</v>
      </c>
      <c r="B12" s="8"/>
      <c r="C12" s="6" t="str">
        <f>TEXT(A12,"mmmm")&amp;" "&amp;YEAR(A12)&amp;" BOG Meeting"</f>
        <v>July 2024 BOG Meeting</v>
      </c>
      <c r="D12" s="7" t="s">
        <v>43</v>
      </c>
      <c r="E12" s="7" t="s">
        <v>39</v>
      </c>
      <c r="G12" s="12"/>
      <c r="H12" s="12"/>
      <c r="I12" s="12"/>
      <c r="J12" s="12"/>
    </row>
    <row r="13" spans="1:10" x14ac:dyDescent="0.2">
      <c r="A13" s="8">
        <v>45527</v>
      </c>
      <c r="B13" s="8">
        <v>45529</v>
      </c>
      <c r="C13" t="s">
        <v>66</v>
      </c>
      <c r="D13" s="7" t="s">
        <v>51</v>
      </c>
      <c r="E13" s="7" t="s">
        <v>38</v>
      </c>
      <c r="G13" s="12"/>
      <c r="H13" s="12"/>
      <c r="I13" s="12"/>
      <c r="J13" s="12"/>
    </row>
    <row r="14" spans="1:10" x14ac:dyDescent="0.2">
      <c r="A14" s="8">
        <f>IF(Settings!$C$3&gt;8,DATE(Settings!$B$2+1,8,29)-WEEKDAY(DATE(Settings!$B$2+1,8,4)),DATE(Settings!$B$2,8,29)-WEEKDAY(DATE(Settings!$B$2,8,4)))</f>
        <v>45532</v>
      </c>
      <c r="B14" s="8"/>
      <c r="C14" s="6" t="str">
        <f>TEXT(A14,"mmmm")&amp;" "&amp;YEAR(A14)&amp;" BOG Meeting"</f>
        <v>August 2024 BOG Meeting</v>
      </c>
      <c r="D14" s="7" t="s">
        <v>43</v>
      </c>
      <c r="E14" s="7" t="s">
        <v>39</v>
      </c>
    </row>
    <row r="15" spans="1:10" x14ac:dyDescent="0.2">
      <c r="A15" s="9">
        <f>IF(Settings!$C$3&gt;9,(DATE(Settings!$B$2+1,9,1)+(1-1)*7)+IF(2&lt;WEEKDAY(DATE(Settings!$B$2+1,9,1)),2+7-WEEKDAY(DATE(Settings!$B$2+1,9,1)),2-WEEKDAY(DATE(Settings!$B$2+1,9,1))),(DATE(Settings!$B$2,9,1)+(1-1)*7)+IF(2&lt;WEEKDAY(DATE(Settings!$B$2,9,1)),2+7-WEEKDAY(DATE(Settings!$B$2,9,1)),2-WEEKDAY(DATE(Settings!$B$2,9,1))))</f>
        <v>45537</v>
      </c>
      <c r="B15" s="9"/>
      <c r="C15" s="10" t="str">
        <f>"Labour Day "&amp; YEAR(A15)</f>
        <v>Labour Day 2024</v>
      </c>
      <c r="D15" s="11" t="s">
        <v>41</v>
      </c>
      <c r="E15" s="11" t="s">
        <v>39</v>
      </c>
    </row>
    <row r="16" spans="1:10" x14ac:dyDescent="0.2">
      <c r="A16" s="8">
        <v>45538</v>
      </c>
      <c r="B16" s="8"/>
      <c r="C16" s="6" t="s">
        <v>84</v>
      </c>
      <c r="D16" s="7" t="s">
        <v>44</v>
      </c>
      <c r="E16" s="7" t="s">
        <v>39</v>
      </c>
    </row>
    <row r="17" spans="1:5" x14ac:dyDescent="0.2">
      <c r="A17" s="8">
        <f>IF(Settings!$C$3&gt;9,DATE(Settings!$B$2+1,9,15)-WEEKDAY(DATE(Settings!$B$2+1,9,4)),DATE(Settings!$B$2,9,15)-WEEKDAY(DATE(Settings!$B$2,9,4)))</f>
        <v>45546</v>
      </c>
      <c r="B17" s="8"/>
      <c r="C17" s="6" t="str">
        <f>TEXT(A17,"mmmm")&amp;" "&amp;YEAR(A17)&amp;" Chapter Meeting"</f>
        <v>September 2024 Chapter Meeting</v>
      </c>
      <c r="D17" s="7" t="s">
        <v>42</v>
      </c>
      <c r="E17" s="7" t="s">
        <v>39</v>
      </c>
    </row>
    <row r="18" spans="1:5" x14ac:dyDescent="0.2">
      <c r="A18" s="8">
        <f>IF(Settings!$C$3&gt;9,DATE(Settings!$B$2+1,9,29)-WEEKDAY(DATE(Settings!$B$2+1,9,4)),DATE(Settings!$B$2,9,29)-WEEKDAY(DATE(Settings!$B$2,9,4)))</f>
        <v>45560</v>
      </c>
      <c r="B18" s="8"/>
      <c r="C18" s="6" t="str">
        <f>TEXT(A18,"mmmm")&amp;" "&amp;YEAR(A18)&amp;" BOG Meeting"</f>
        <v>September 2024 BOG Meeting</v>
      </c>
      <c r="D18" s="7" t="s">
        <v>43</v>
      </c>
      <c r="E18" s="7" t="s">
        <v>39</v>
      </c>
    </row>
    <row r="19" spans="1:5" x14ac:dyDescent="0.2">
      <c r="A19" s="8">
        <v>45561</v>
      </c>
      <c r="B19" s="8">
        <v>45562</v>
      </c>
      <c r="C19" s="6" t="s">
        <v>69</v>
      </c>
      <c r="D19" s="7" t="s">
        <v>35</v>
      </c>
      <c r="E19" s="7" t="s">
        <v>37</v>
      </c>
    </row>
    <row r="20" spans="1:5" x14ac:dyDescent="0.2">
      <c r="A20" s="8">
        <v>45563</v>
      </c>
      <c r="B20" s="8">
        <v>45564</v>
      </c>
      <c r="C20" s="6" t="s">
        <v>59</v>
      </c>
      <c r="D20" s="7" t="s">
        <v>48</v>
      </c>
      <c r="E20" s="7" t="s">
        <v>38</v>
      </c>
    </row>
    <row r="21" spans="1:5" x14ac:dyDescent="0.2">
      <c r="A21" s="8">
        <v>45565</v>
      </c>
      <c r="B21" s="8"/>
      <c r="C21" s="6" t="s">
        <v>67</v>
      </c>
      <c r="D21" s="7" t="s">
        <v>35</v>
      </c>
      <c r="E21" s="7" t="s">
        <v>39</v>
      </c>
    </row>
    <row r="22" spans="1:5" x14ac:dyDescent="0.2">
      <c r="A22" s="8">
        <v>45568</v>
      </c>
      <c r="B22" s="8">
        <v>45569</v>
      </c>
      <c r="C22" s="6" t="s">
        <v>63</v>
      </c>
      <c r="D22" s="7" t="s">
        <v>51</v>
      </c>
      <c r="E22" s="7" t="s">
        <v>37</v>
      </c>
    </row>
    <row r="23" spans="1:5" x14ac:dyDescent="0.2">
      <c r="A23" s="8">
        <f>IF(Settings!$C$3&gt;10,DATE(Settings!$B$2+1,10,15)-WEEKDAY(DATE(Settings!$B$2+1,10,4)),DATE(Settings!$B$2,10,15)-WEEKDAY(DATE(Settings!$B$2,10,4)))</f>
        <v>45574</v>
      </c>
      <c r="B23" s="8"/>
      <c r="C23" s="6" t="str">
        <f>TEXT(A23,"mmmm")&amp;" "&amp;YEAR(A23)&amp;" Chapter Meeting"</f>
        <v>October 2024 Chapter Meeting</v>
      </c>
      <c r="D23" s="7" t="s">
        <v>42</v>
      </c>
      <c r="E23" s="7" t="s">
        <v>39</v>
      </c>
    </row>
    <row r="24" spans="1:5" x14ac:dyDescent="0.2">
      <c r="A24" s="9">
        <f>IF(Settings!$C$3&gt;10,(DATE(Settings!$B$2+1,10,1)+(2-1)*7)+IF(2&lt;WEEKDAY(DATE(Settings!$B$2+1,10,1)),2+7-WEEKDAY(DATE(Settings!$B$2+1,10,1)),2-WEEKDAY(DATE(Settings!$B$2+1,10,1))),(DATE(Settings!$B$2,10,1)+(2-1)*7)+IF(2&lt;WEEKDAY(DATE(Settings!$B$2,10,1)),2+7-WEEKDAY(DATE(Settings!$B$2,10,1)),2-WEEKDAY(DATE(Settings!$B$2,10,1))))</f>
        <v>45579</v>
      </c>
      <c r="B24" s="9"/>
      <c r="C24" s="10" t="str">
        <f>"Columbus Day "&amp; YEAR(A24)</f>
        <v>Columbus Day 2024</v>
      </c>
      <c r="D24" s="11" t="s">
        <v>41</v>
      </c>
      <c r="E24" s="11" t="s">
        <v>37</v>
      </c>
    </row>
    <row r="25" spans="1:5" x14ac:dyDescent="0.2">
      <c r="A25" s="9">
        <f>IF(Settings!$C$3&gt;10,DATE(Settings!$B$2+1,10,CHOOSE(WEEKDAY(DATE(Settings!$B$2+1,10,1)),9,8,14,13,12,11,10)),DATE(Settings!$B$2,10,CHOOSE(WEEKDAY(DATE(Settings!$B$2,10,1)),9,8,14,13,12,11,10)))</f>
        <v>45579</v>
      </c>
      <c r="B25" s="9"/>
      <c r="C25" s="10" t="str">
        <f>"Canadian (Proper) Thanksgiving "&amp; YEAR(A25)</f>
        <v>Canadian (Proper) Thanksgiving 2024</v>
      </c>
      <c r="D25" s="11" t="s">
        <v>41</v>
      </c>
      <c r="E25" s="11" t="s">
        <v>39</v>
      </c>
    </row>
    <row r="26" spans="1:5" x14ac:dyDescent="0.2">
      <c r="A26" s="8">
        <v>45586</v>
      </c>
      <c r="B26" s="8">
        <v>45588</v>
      </c>
      <c r="C26" s="6" t="s">
        <v>70</v>
      </c>
      <c r="D26" s="7" t="s">
        <v>51</v>
      </c>
      <c r="E26" s="7" t="s">
        <v>37</v>
      </c>
    </row>
    <row r="27" spans="1:5" x14ac:dyDescent="0.2">
      <c r="A27" s="8">
        <f>IF(Settings!$C$3&gt;10,DATE(Settings!$B$2+1,10,29)-WEEKDAY(DATE(Settings!$B$2+1,10,4)),DATE(Settings!$B$2,10,29)-WEEKDAY(DATE(Settings!$B$2,10,4)))</f>
        <v>45588</v>
      </c>
      <c r="B27" s="8"/>
      <c r="C27" s="6" t="str">
        <f>TEXT(A27,"mmmm")&amp;" "&amp;YEAR(A27)&amp;" BOG Meeting"</f>
        <v>October 2024 BOG Meeting</v>
      </c>
      <c r="D27" s="7" t="s">
        <v>43</v>
      </c>
      <c r="E27" s="7" t="s">
        <v>39</v>
      </c>
    </row>
    <row r="28" spans="1:5" x14ac:dyDescent="0.2">
      <c r="A28" s="9">
        <f>IF(Settings!$C$3&gt;10,DATE(Settings!$B$2+1,10,24),DATE(Settings!$B$2,10,24))</f>
        <v>45589</v>
      </c>
      <c r="B28" s="9"/>
      <c r="C28" s="10" t="str">
        <f>"United Nations Day "&amp; YEAR(A28)</f>
        <v>United Nations Day 2024</v>
      </c>
      <c r="D28" s="11" t="s">
        <v>41</v>
      </c>
      <c r="E28" s="11" t="s">
        <v>37</v>
      </c>
    </row>
    <row r="29" spans="1:5" x14ac:dyDescent="0.2">
      <c r="A29" s="9">
        <f>IF(Settings!$C$3&gt;10,DATE(Settings!$B$2+1,10,31),DATE(Settings!$B$2,10,31))</f>
        <v>45596</v>
      </c>
      <c r="B29" s="9"/>
      <c r="C29" s="10" t="str">
        <f>"Halloween "&amp; YEAR(A29)</f>
        <v>Halloween 2024</v>
      </c>
      <c r="D29" s="11" t="s">
        <v>41</v>
      </c>
      <c r="E29" s="11" t="s">
        <v>37</v>
      </c>
    </row>
    <row r="30" spans="1:5" x14ac:dyDescent="0.2">
      <c r="A30" s="9">
        <f>IF(Settings!$C$3&gt;11,(DATE(Settings!$B$2+1,11,1)+(1-1)*7)+IF(1&lt;WEEKDAY(DATE(Settings!$B$2+1,11,1)),1+7-WEEKDAY(DATE(Settings!$B$2+1,11,1)),1-WEEKDAY(DATE(Settings!$B$2+1,11,1))),(DATE(Settings!$B$2,11,1)+(1-1)*7)+IF(1&lt;WEEKDAY(DATE(Settings!$B$2,11,1)),1+7-WEEKDAY(DATE(Settings!$B$2,11,1)),1-WEEKDAY(DATE(Settings!$B$2,11,1))))</f>
        <v>45599</v>
      </c>
      <c r="B30" s="9"/>
      <c r="C30" s="10" t="str">
        <f>"Daylight Saving (move clocks back 1 hour) "&amp; YEAR(A30)</f>
        <v>Daylight Saving (move clocks back 1 hour) 2024</v>
      </c>
      <c r="D30" s="11" t="s">
        <v>41</v>
      </c>
      <c r="E30" s="11" t="s">
        <v>37</v>
      </c>
    </row>
    <row r="31" spans="1:5" x14ac:dyDescent="0.2">
      <c r="A31" s="9">
        <f>IF(Settings!$C$3&gt;11,DATE(Settings!$B$2+1,11,11),DATE(Settings!$B$2,11,11))</f>
        <v>45607</v>
      </c>
      <c r="B31" s="9"/>
      <c r="C31" s="10" t="str">
        <f>"Veterans Day (US) "&amp; YEAR(A31)</f>
        <v>Veterans Day (US) 2024</v>
      </c>
      <c r="D31" s="11" t="s">
        <v>41</v>
      </c>
      <c r="E31" s="11" t="s">
        <v>37</v>
      </c>
    </row>
    <row r="32" spans="1:5" x14ac:dyDescent="0.2">
      <c r="A32" s="8">
        <v>45607</v>
      </c>
      <c r="B32" s="8">
        <v>45611</v>
      </c>
      <c r="C32" s="6" t="s">
        <v>53</v>
      </c>
      <c r="D32" s="7" t="s">
        <v>44</v>
      </c>
      <c r="E32" s="7" t="s">
        <v>39</v>
      </c>
    </row>
    <row r="33" spans="1:5" x14ac:dyDescent="0.2">
      <c r="A33" s="8">
        <f>IF(Settings!$C$3&gt;8,DATE(Settings!$B$2+1,11,15)-WEEKDAY(DATE(Settings!$B$2+1,11,4)),DATE(Settings!$B$2,11,15)-WEEKDAY(DATE(Settings!$B$2,11,4)))</f>
        <v>45609</v>
      </c>
      <c r="B33" s="8"/>
      <c r="C33" s="6" t="str">
        <f>TEXT(A33,"mmmm")&amp;" "&amp;YEAR(A33)&amp;" Chapter Meeting"</f>
        <v>November 2024 Chapter Meeting</v>
      </c>
      <c r="D33" s="7" t="s">
        <v>42</v>
      </c>
      <c r="E33" s="7" t="s">
        <v>39</v>
      </c>
    </row>
    <row r="34" spans="1:5" x14ac:dyDescent="0.2">
      <c r="A34" s="8">
        <f>IF(Settings!$C$3&gt;11,DATE(Settings!$B$2+1,11,29)-WEEKDAY(DATE(Settings!$B$2+1,11,4)),DATE(Settings!$B$2,11,29)-WEEKDAY(DATE(Settings!$B$2,11,4)))</f>
        <v>45623</v>
      </c>
      <c r="B34" s="8"/>
      <c r="C34" s="6" t="str">
        <f>TEXT(A34,"mmmm")&amp;" "&amp;YEAR(A34)&amp;" BOG Meeting"</f>
        <v>November 2024 BOG Meeting</v>
      </c>
      <c r="D34" s="7" t="s">
        <v>43</v>
      </c>
      <c r="E34" s="7" t="s">
        <v>39</v>
      </c>
    </row>
    <row r="35" spans="1:5" x14ac:dyDescent="0.2">
      <c r="A35" s="9">
        <f>IF(Settings!$C$3&gt;11,(DATE(Settings!$B$2+1,11,1)+(4-1)*7)+IF(5&lt;WEEKDAY(DATE(Settings!$B$2+1,11,1)),5+7-WEEKDAY(DATE(Settings!$B$2+1,11,1)),5-WEEKDAY(DATE(Settings!$B$2+1,11,1))),(DATE(Settings!$B$2,11,1)+(4-1)*7)+IF(5&lt;WEEKDAY(DATE(Settings!$B$2,11,1)),5+7-WEEKDAY(DATE(Settings!$B$2,11,1)),5-WEEKDAY(DATE(Settings!$B$2,11,1))))</f>
        <v>45624</v>
      </c>
      <c r="B35" s="9"/>
      <c r="C35" s="10" t="str">
        <f>"Thanksgiving (US) "&amp; YEAR(A35)</f>
        <v>Thanksgiving (US) 2024</v>
      </c>
      <c r="D35" s="11" t="s">
        <v>41</v>
      </c>
      <c r="E35" s="11" t="s">
        <v>37</v>
      </c>
    </row>
    <row r="36" spans="1:5" x14ac:dyDescent="0.2">
      <c r="A36" s="8">
        <v>45632</v>
      </c>
      <c r="B36" s="8">
        <v>45643</v>
      </c>
      <c r="C36" t="s">
        <v>52</v>
      </c>
      <c r="D36" s="7" t="s">
        <v>44</v>
      </c>
      <c r="E36" s="7" t="s">
        <v>39</v>
      </c>
    </row>
    <row r="37" spans="1:5" x14ac:dyDescent="0.2">
      <c r="A37" s="9">
        <f>IF(Settings!$C$3&gt;12,DATE(Settings!$B$2+1,12,24),DATE(Settings!$B$2,12,24))</f>
        <v>45650</v>
      </c>
      <c r="B37" s="9"/>
      <c r="C37" s="10" t="str">
        <f>"Christmas Eve "&amp; YEAR(A37)</f>
        <v>Christmas Eve 2024</v>
      </c>
      <c r="D37" s="11" t="s">
        <v>41</v>
      </c>
      <c r="E37" s="11" t="s">
        <v>37</v>
      </c>
    </row>
    <row r="38" spans="1:5" x14ac:dyDescent="0.2">
      <c r="A38" s="9">
        <f>IF(Settings!$C$3&gt;12,DATE(Settings!$B$2+1,12,25),DATE(Settings!$B$2,12,25))</f>
        <v>45651</v>
      </c>
      <c r="B38" s="9"/>
      <c r="C38" s="10" t="str">
        <f>"Christmas Day "&amp; YEAR(A38)</f>
        <v>Christmas Day 2024</v>
      </c>
      <c r="D38" s="11" t="s">
        <v>41</v>
      </c>
      <c r="E38" s="11" t="s">
        <v>37</v>
      </c>
    </row>
    <row r="39" spans="1:5" x14ac:dyDescent="0.2">
      <c r="A39" s="8">
        <f>IF(Settings!$C$3&gt;12,DATE(Settings!$B$2+1,12,29)-WEEKDAY(DATE(Settings!$B$2+1,12,4)),DATE(Settings!$B$2,12,29)-WEEKDAY(DATE(Settings!$B$2,12,4)))</f>
        <v>45651</v>
      </c>
      <c r="B39" s="8"/>
      <c r="C39" s="6" t="str">
        <f>TEXT(A39,"mmmm")&amp;" "&amp;YEAR(A39)&amp;" BOG Meeting"</f>
        <v>December 2024 BOG Meeting</v>
      </c>
      <c r="D39" s="7" t="s">
        <v>43</v>
      </c>
      <c r="E39" s="7" t="s">
        <v>39</v>
      </c>
    </row>
    <row r="40" spans="1:5" x14ac:dyDescent="0.2">
      <c r="A40" s="9">
        <f>IF(Settings!$C$3&gt;12,DATE(Settings!$B$2+1,12,31),DATE(Settings!$B$2,12,31))</f>
        <v>45657</v>
      </c>
      <c r="B40" s="9"/>
      <c r="C40" s="10" t="str">
        <f>"New Year's Eve "&amp; YEAR(A40)</f>
        <v>New Year's Eve 2024</v>
      </c>
      <c r="D40" s="11" t="s">
        <v>41</v>
      </c>
      <c r="E40" s="11" t="s">
        <v>37</v>
      </c>
    </row>
    <row r="41" spans="1:5" x14ac:dyDescent="0.2">
      <c r="A41" s="9">
        <f>IF(Settings!$C$3=1,DATE(Settings!$B$2,1,1),DATE(Settings!$B$2+1,1,1))</f>
        <v>45658</v>
      </c>
      <c r="B41" s="9"/>
      <c r="C41" s="10" t="str">
        <f>"New Year's Day "&amp; YEAR(A41)</f>
        <v>New Year's Day 2025</v>
      </c>
      <c r="D41" s="11" t="s">
        <v>41</v>
      </c>
      <c r="E41" s="11" t="s">
        <v>39</v>
      </c>
    </row>
    <row r="42" spans="1:5" x14ac:dyDescent="0.2">
      <c r="A42" s="8">
        <v>45663</v>
      </c>
      <c r="B42" s="8"/>
      <c r="C42" t="s">
        <v>82</v>
      </c>
      <c r="D42" s="7" t="s">
        <v>44</v>
      </c>
      <c r="E42" s="7" t="s">
        <v>39</v>
      </c>
    </row>
    <row r="43" spans="1:5" x14ac:dyDescent="0.2">
      <c r="A43" s="8">
        <f>IF(Settings!$C$3&gt;1,DATE(Settings!$B$2+1,1,15)-WEEKDAY(DATE(Settings!$B$2+1,1,4)),DATE(Settings!$B$2,1,15)-WEEKDAY(DATE(Settings!$B$2,1,4)))</f>
        <v>45665</v>
      </c>
      <c r="B43" s="8"/>
      <c r="C43" s="6" t="str">
        <f>TEXT(A43,"mmmm")&amp;" "&amp;YEAR(A43)&amp;" Chapter Meeting"</f>
        <v>January 2025 Chapter Meeting</v>
      </c>
      <c r="D43" s="7" t="s">
        <v>42</v>
      </c>
      <c r="E43" s="7" t="s">
        <v>39</v>
      </c>
    </row>
    <row r="44" spans="1:5" x14ac:dyDescent="0.2">
      <c r="A44" s="8">
        <f>IF(Settings!$C$3&gt;1,(DATE(Settings!$B$2+1,1,1)+(3-1)*7)+IF(2&lt;WEEKDAY(DATE(Settings!$B$2+1,1,1)),2+7-WEEKDAY(DATE(Settings!$B$2+1,1,1)),2-WEEKDAY(DATE(Settings!$B$2+1,1,1))),(DATE(Settings!$B$2,1,1)+(3-1)*7)+IF(2&lt;WEEKDAY(DATE(Settings!$B$2,1,1)),2+7-WEEKDAY(DATE(Settings!$B$2,1,1)),2-WEEKDAY(DATE(Settings!$B$2,1,1))))</f>
        <v>45677</v>
      </c>
      <c r="B44" s="8"/>
      <c r="C44" s="6" t="s">
        <v>34</v>
      </c>
      <c r="D44" s="7" t="s">
        <v>41</v>
      </c>
      <c r="E44" s="7" t="s">
        <v>39</v>
      </c>
    </row>
    <row r="45" spans="1:5" x14ac:dyDescent="0.2">
      <c r="A45" s="8">
        <f>IF(Settings!$C$3&gt;1,DATE(Settings!$B$2+1,1,29)-WEEKDAY(DATE(Settings!$B$2+1,1,4)),DATE(Settings!$B$2,1,29)-WEEKDAY(DATE(Settings!$B$2,1,4)))</f>
        <v>45679</v>
      </c>
      <c r="B45" s="8"/>
      <c r="C45" s="6" t="str">
        <f>TEXT(A45,"mmmm")&amp;" "&amp;YEAR(A45)&amp;" BOG Meeting"</f>
        <v>January 2025 BOG Meeting</v>
      </c>
      <c r="D45" s="7" t="s">
        <v>43</v>
      </c>
      <c r="E45" s="7" t="s">
        <v>39</v>
      </c>
    </row>
    <row r="46" spans="1:5" x14ac:dyDescent="0.2">
      <c r="A46" s="9">
        <f>IF(Settings!$C$3&gt;2,DATE(Settings!$B$2+1,2,2),DATE(Settings!$B$2,2,2))</f>
        <v>45690</v>
      </c>
      <c r="B46" s="9"/>
      <c r="C46" s="10" t="str">
        <f>"Groundhog Day "&amp; YEAR(A46)</f>
        <v>Groundhog Day 2025</v>
      </c>
      <c r="D46" s="11" t="s">
        <v>41</v>
      </c>
      <c r="E46" s="11" t="s">
        <v>38</v>
      </c>
    </row>
    <row r="47" spans="1:5" x14ac:dyDescent="0.2">
      <c r="A47" s="8">
        <v>45695</v>
      </c>
      <c r="B47" s="8"/>
      <c r="C47" s="6" t="s">
        <v>83</v>
      </c>
      <c r="D47" s="7" t="s">
        <v>44</v>
      </c>
      <c r="E47" s="7" t="s">
        <v>39</v>
      </c>
    </row>
    <row r="48" spans="1:5" x14ac:dyDescent="0.2">
      <c r="A48" s="8">
        <v>45696</v>
      </c>
      <c r="B48" s="8">
        <v>45700</v>
      </c>
      <c r="C48" s="6" t="s">
        <v>80</v>
      </c>
      <c r="D48" s="7" t="s">
        <v>51</v>
      </c>
      <c r="E48" s="7" t="s">
        <v>37</v>
      </c>
    </row>
    <row r="49" spans="1:5" x14ac:dyDescent="0.2">
      <c r="A49" s="8">
        <v>45698</v>
      </c>
      <c r="B49" s="8">
        <v>45700</v>
      </c>
      <c r="C49" s="6" t="s">
        <v>81</v>
      </c>
      <c r="D49" s="7" t="s">
        <v>51</v>
      </c>
      <c r="E49" s="7" t="s">
        <v>37</v>
      </c>
    </row>
    <row r="50" spans="1:5" x14ac:dyDescent="0.2">
      <c r="A50" s="8">
        <f>IF(Settings!$C$3&gt;2,DATE(Settings!$B$2+1,2,15)-WEEKDAY(DATE(Settings!$B$2+1,2,4)),DATE(Settings!$B$2,2,15)-WEEKDAY(DATE(Settings!$B$2,2,4)))</f>
        <v>45700</v>
      </c>
      <c r="B50" s="8"/>
      <c r="C50" s="6" t="str">
        <f>TEXT(A50,"mmmm")&amp;" "&amp;YEAR(A50)&amp;" Chapter Meeting"</f>
        <v>February 2025 Chapter Meeting</v>
      </c>
      <c r="D50" s="7" t="s">
        <v>42</v>
      </c>
      <c r="E50" s="7" t="s">
        <v>39</v>
      </c>
    </row>
    <row r="51" spans="1:5" x14ac:dyDescent="0.2">
      <c r="A51" s="9">
        <f>IF(Settings!$C$3&gt;2,DATE(Settings!$B$2+1,2,14),DATE(Settings!$B$2,2,14))</f>
        <v>45702</v>
      </c>
      <c r="B51" s="9"/>
      <c r="C51" s="10" t="str">
        <f>"Valentines Day "&amp; YEAR(A51)</f>
        <v>Valentines Day 2025</v>
      </c>
      <c r="D51" s="11" t="s">
        <v>41</v>
      </c>
      <c r="E51" s="11" t="s">
        <v>38</v>
      </c>
    </row>
    <row r="52" spans="1:5" x14ac:dyDescent="0.2">
      <c r="A52" s="8">
        <v>45705</v>
      </c>
      <c r="B52" s="8"/>
      <c r="C52" t="s">
        <v>64</v>
      </c>
      <c r="D52" s="7" t="s">
        <v>41</v>
      </c>
      <c r="E52" s="7" t="s">
        <v>39</v>
      </c>
    </row>
    <row r="53" spans="1:5" x14ac:dyDescent="0.2">
      <c r="A53" s="9">
        <f>IF(Settings!$C$3&gt;2,(DATE(Settings!$B$2+1,2,1)+(3-1)*7)+IF(2&lt;WEEKDAY(DATE(Settings!$B$2+1,2,1)),2+7-WEEKDAY(DATE(Settings!$B$2+1,2,1)),2-WEEKDAY(DATE(Settings!$B$2+1,2,1))),(DATE(Settings!$B$2,2,1)+(3-1)*7)+IF(2&lt;WEEKDAY(DATE(Settings!$B$2,2,1)),2+7-WEEKDAY(DATE(Settings!$B$2,2,1)),2-WEEKDAY(DATE(Settings!$B$2,2,1))))</f>
        <v>45705</v>
      </c>
      <c r="B53" s="9"/>
      <c r="C53" s="10" t="str">
        <f>"President's Day "&amp; YEAR(A53)</f>
        <v>President's Day 2025</v>
      </c>
      <c r="D53" s="11" t="s">
        <v>41</v>
      </c>
      <c r="E53" s="11" t="s">
        <v>37</v>
      </c>
    </row>
    <row r="54" spans="1:5" x14ac:dyDescent="0.2">
      <c r="A54" s="8">
        <v>45705</v>
      </c>
      <c r="B54" s="8">
        <v>45709</v>
      </c>
      <c r="C54" s="6" t="s">
        <v>54</v>
      </c>
      <c r="D54" s="7" t="s">
        <v>44</v>
      </c>
      <c r="E54" s="7" t="s">
        <v>39</v>
      </c>
    </row>
    <row r="55" spans="1:5" x14ac:dyDescent="0.2">
      <c r="A55" s="8">
        <f>IF(Settings!$C$3&gt;2,DATE(Settings!$B$2+1,2,29)-WEEKDAY(DATE(Settings!$B$2+1,2,4)),DATE(Settings!$B$2,2,29)-WEEKDAY(DATE(Settings!$B$2,2,4)))</f>
        <v>45714</v>
      </c>
      <c r="B55" s="8"/>
      <c r="C55" s="6" t="str">
        <f>TEXT(A55,"mmmm")&amp;" "&amp;YEAR(A55)&amp;" BOG Meeting"</f>
        <v>February 2025 BOG Meeting</v>
      </c>
      <c r="D55" s="7" t="s">
        <v>43</v>
      </c>
      <c r="E55" s="7" t="s">
        <v>39</v>
      </c>
    </row>
    <row r="56" spans="1:5" x14ac:dyDescent="0.2">
      <c r="A56" s="8">
        <v>45719</v>
      </c>
      <c r="B56" s="8">
        <v>45723</v>
      </c>
      <c r="C56" s="6" t="s">
        <v>73</v>
      </c>
      <c r="D56" s="7" t="s">
        <v>44</v>
      </c>
      <c r="E56" s="7" t="s">
        <v>39</v>
      </c>
    </row>
    <row r="57" spans="1:5" x14ac:dyDescent="0.2">
      <c r="A57" s="9">
        <f>IF(Settings!$C$3&gt;3,(DATE(Settings!$B$2+1,3,1)+(2-1)*7)+IF(1&lt;WEEKDAY(DATE(Settings!$B$2+1,3,1)),1+7-WEEKDAY(DATE(Settings!$B$2+1,3,1)),1-WEEKDAY(DATE(Settings!$B$2+1,3,1))),(DATE(Settings!$B$2,3,1)+(2-1)*7)+IF(1&lt;WEEKDAY(DATE(Settings!$B$2,3,1)),1+7-WEEKDAY(DATE(Settings!$B$2,3,1)),1-WEEKDAY(DATE(Settings!$B$2,3,1))))</f>
        <v>45725</v>
      </c>
      <c r="B57" s="9"/>
      <c r="C57" s="10" t="str">
        <f>"Daylight Saving (move clocks ahead 1 hour) "&amp; YEAR(A57)</f>
        <v>Daylight Saving (move clocks ahead 1 hour) 2025</v>
      </c>
      <c r="D57" s="11" t="s">
        <v>41</v>
      </c>
      <c r="E57" s="11" t="s">
        <v>38</v>
      </c>
    </row>
    <row r="58" spans="1:5" x14ac:dyDescent="0.2">
      <c r="A58" s="8">
        <f>IF(Settings!$C$3&gt;3,DATE(Settings!$B$2+1,3,15)-WEEKDAY(DATE(Settings!$B$2+1,3,4)),DATE(Settings!$B$2,3,15)-WEEKDAY(DATE(Settings!$B$2,3,4)))</f>
        <v>45728</v>
      </c>
      <c r="B58" s="8"/>
      <c r="C58" s="6" t="str">
        <f>TEXT(A58,"mmmm")&amp;" "&amp;YEAR(A58)&amp;" Chapter Meeting"</f>
        <v>March 2025 Chapter Meeting</v>
      </c>
      <c r="D58" s="7" t="s">
        <v>42</v>
      </c>
      <c r="E58" s="7" t="s">
        <v>39</v>
      </c>
    </row>
    <row r="59" spans="1:5" x14ac:dyDescent="0.2">
      <c r="A59" s="9">
        <f>IF(Settings!$C$3&gt;3,DATE(Settings!$B$2+1,3,17),DATE(Settings!$B$2,3,17))</f>
        <v>45733</v>
      </c>
      <c r="B59" s="9"/>
      <c r="C59" s="10" t="str">
        <f>"St. Patrick's Day "&amp; YEAR(A59)</f>
        <v>St. Patrick's Day 2025</v>
      </c>
      <c r="D59" s="11" t="s">
        <v>41</v>
      </c>
      <c r="E59" s="11" t="s">
        <v>38</v>
      </c>
    </row>
    <row r="60" spans="1:5" x14ac:dyDescent="0.2">
      <c r="A60" s="8">
        <v>45739</v>
      </c>
      <c r="B60" s="8">
        <v>45739</v>
      </c>
      <c r="C60" s="6" t="s">
        <v>72</v>
      </c>
      <c r="D60" s="7" t="s">
        <v>51</v>
      </c>
      <c r="E60" s="7" t="s">
        <v>37</v>
      </c>
    </row>
    <row r="61" spans="1:5" x14ac:dyDescent="0.2">
      <c r="A61" s="8">
        <f>IF(Settings!$C$3&gt;3,DATE(Settings!$B$2+1,3,29)-WEEKDAY(DATE(Settings!$B$2+1,3,4)),DATE(Settings!$B$2,3,29)-WEEKDAY(DATE(Settings!$B$2,3,4)))</f>
        <v>45742</v>
      </c>
      <c r="B61" s="8"/>
      <c r="C61" s="6" t="str">
        <f>TEXT(A61,"mmmm")&amp;" "&amp;YEAR(A61)&amp;" BOG Meeting"</f>
        <v>March 2025 BOG Meeting</v>
      </c>
      <c r="D61" s="7" t="s">
        <v>43</v>
      </c>
      <c r="E61" s="7" t="s">
        <v>39</v>
      </c>
    </row>
    <row r="62" spans="1:5" x14ac:dyDescent="0.2">
      <c r="A62" s="9">
        <f>IF(Settings!$C$3&gt;4,DATE(Settings!$B$2+1,4,1),DATE(Settings!$B$2,4,1))</f>
        <v>45748</v>
      </c>
      <c r="B62" s="9"/>
      <c r="C62" s="10" t="str">
        <f>"April Fool's Day "&amp; YEAR(A62)</f>
        <v>April Fool's Day 2025</v>
      </c>
      <c r="D62" s="11" t="s">
        <v>41</v>
      </c>
      <c r="E62" s="11" t="s">
        <v>38</v>
      </c>
    </row>
    <row r="63" spans="1:5" x14ac:dyDescent="0.2">
      <c r="A63" s="8">
        <v>45754</v>
      </c>
      <c r="B63" s="8">
        <v>45755</v>
      </c>
      <c r="C63" s="6" t="s">
        <v>62</v>
      </c>
      <c r="D63" s="7" t="s">
        <v>51</v>
      </c>
      <c r="E63" s="7" t="s">
        <v>39</v>
      </c>
    </row>
    <row r="64" spans="1:5" x14ac:dyDescent="0.2">
      <c r="A64" s="8">
        <f>IF(Settings!$C$3&gt;4,DATE(Settings!$B$2+1,4,15)-WEEKDAY(DATE(Settings!$B$2+1,4,4)),DATE(Settings!$B$2,4,15)-WEEKDAY(DATE(Settings!$B$2,4,4)))</f>
        <v>45756</v>
      </c>
      <c r="B64" s="8"/>
      <c r="C64" s="6" t="str">
        <f>TEXT(A64,"mmmm")&amp;" "&amp;YEAR(A64)&amp;" Chapter Meeting"</f>
        <v>April 2025 Chapter Meeting</v>
      </c>
      <c r="D64" s="7" t="s">
        <v>42</v>
      </c>
      <c r="E64" s="7" t="s">
        <v>39</v>
      </c>
    </row>
    <row r="65" spans="1:5" x14ac:dyDescent="0.2">
      <c r="A65" s="8">
        <v>45756</v>
      </c>
      <c r="B65" s="8">
        <v>45768</v>
      </c>
      <c r="C65" s="6" t="s">
        <v>52</v>
      </c>
      <c r="D65" s="7" t="s">
        <v>44</v>
      </c>
      <c r="E65" s="7" t="s">
        <v>39</v>
      </c>
    </row>
    <row r="66" spans="1:5" x14ac:dyDescent="0.2">
      <c r="A66" s="8">
        <v>45765</v>
      </c>
      <c r="B66" s="8"/>
      <c r="C66" s="6" t="s">
        <v>55</v>
      </c>
      <c r="D66" s="7" t="s">
        <v>41</v>
      </c>
      <c r="E66" s="7" t="s">
        <v>38</v>
      </c>
    </row>
    <row r="67" spans="1:5" x14ac:dyDescent="0.2">
      <c r="A67" s="9">
        <f>IF(Settings!$C$3&gt;4,DATE(Settings!$B$2+1,4,22),DATE(Settings!$B$2,4,22))</f>
        <v>45769</v>
      </c>
      <c r="B67" s="9"/>
      <c r="C67" s="10" t="str">
        <f>"Earth Day "&amp; YEAR(A67)</f>
        <v>Earth Day 2025</v>
      </c>
      <c r="D67" s="11" t="s">
        <v>41</v>
      </c>
      <c r="E67" s="11" t="s">
        <v>38</v>
      </c>
    </row>
    <row r="68" spans="1:5" x14ac:dyDescent="0.2">
      <c r="A68" s="8">
        <f>IF(Settings!$C$3&gt;4,DATE(Settings!$B$2+1,4,29)-WEEKDAY(DATE(Settings!$B$2+1,4,4)),DATE(Settings!$B$2,4,29)-WEEKDAY(DATE(Settings!$B$2,4,4)))</f>
        <v>45770</v>
      </c>
      <c r="B68" s="8"/>
      <c r="C68" s="6" t="str">
        <f>TEXT(A68,"mmmm")&amp;" "&amp;YEAR(A68)&amp;" BOG Meeting"</f>
        <v>April 2025 BOG Meeting</v>
      </c>
      <c r="D68" s="7" t="s">
        <v>43</v>
      </c>
      <c r="E68" s="7" t="s">
        <v>39</v>
      </c>
    </row>
    <row r="69" spans="1:5" x14ac:dyDescent="0.2">
      <c r="A69" s="9">
        <f>IF(Settings!$C$3&gt;5,(DATE(Settings!$B$2+1,5,1)+(2-1)*7)+IF(1&lt;WEEKDAY(DATE(Settings!$B$2+1,5,1)),1+7-WEEKDAY(DATE(Settings!$B$2+1,5,1)),1-WEEKDAY(DATE(Settings!$B$2+1,5,1))),(DATE(Settings!$B$2,5,1)+(2-1)*7)+IF(1&lt;WEEKDAY(DATE(Settings!$B$2,5,1)),1+7-WEEKDAY(DATE(Settings!$B$2,5,1)),1-WEEKDAY(DATE(Settings!$B$2,5,1))))</f>
        <v>45788</v>
      </c>
      <c r="B69" s="9"/>
      <c r="C69" s="10" t="str">
        <f>"Mother's Day "&amp; YEAR(A69)</f>
        <v>Mother's Day 2025</v>
      </c>
      <c r="D69" s="11" t="s">
        <v>41</v>
      </c>
      <c r="E69" s="11" t="s">
        <v>38</v>
      </c>
    </row>
    <row r="70" spans="1:5" x14ac:dyDescent="0.2">
      <c r="A70" s="8">
        <f>IF(Settings!$C$3&gt;5,DATE(Settings!$B$2+1,5,15)-WEEKDAY(DATE(Settings!$B$2+1,5,4)),DATE(Settings!$B$2,5,15)-WEEKDAY(DATE(Settings!$B$2,5,4)))</f>
        <v>45791</v>
      </c>
      <c r="B70" s="8"/>
      <c r="C70" s="6" t="str">
        <f>TEXT(A70,"mmmm")&amp;" "&amp;YEAR(A70)&amp;" Chapter Meeting"</f>
        <v>May 2025 Chapter Meeting</v>
      </c>
      <c r="D70" s="7" t="s">
        <v>42</v>
      </c>
      <c r="E70" s="7" t="s">
        <v>39</v>
      </c>
    </row>
    <row r="71" spans="1:5" x14ac:dyDescent="0.2">
      <c r="A71" s="8">
        <v>45796</v>
      </c>
      <c r="B71" s="8"/>
      <c r="C71" s="6" t="s">
        <v>74</v>
      </c>
      <c r="D71" s="7" t="s">
        <v>41</v>
      </c>
      <c r="E71" s="7" t="s">
        <v>38</v>
      </c>
    </row>
    <row r="72" spans="1:5" x14ac:dyDescent="0.2">
      <c r="A72" s="9">
        <f>IF(Settings!$C$3&gt;5,(DATE(Settings!$B$2+1,6,1)+(0-1)*7)+IF(2&lt;WEEKDAY(DATE(Settings!$B$2+1,6,1)),2+7-WEEKDAY(DATE(Settings!$B$2+1,6,1)),2-WEEKDAY(DATE(Settings!$B$2+1,6,1))),(DATE(Settings!$B$2,6,1)+(0-1)*7)+IF(2&lt;WEEKDAY(DATE(Settings!$B$2,6,1)),2+7-WEEKDAY(DATE(Settings!$B$2,6,1)),2-WEEKDAY(DATE(Settings!$B$2,6,1))))</f>
        <v>45803</v>
      </c>
      <c r="B72" s="9"/>
      <c r="C72" s="10" t="str">
        <f>"Memorial Day (US) "&amp; YEAR(A72)</f>
        <v>Memorial Day (US) 2025</v>
      </c>
      <c r="D72" s="11" t="s">
        <v>41</v>
      </c>
      <c r="E72" s="11" t="s">
        <v>38</v>
      </c>
    </row>
    <row r="73" spans="1:5" x14ac:dyDescent="0.2">
      <c r="A73" s="8">
        <f>IF(Settings!$C$3&gt;5,DATE(Settings!$B$2+1,5,29)-WEEKDAY(DATE(Settings!$B$2+1,5,4)),DATE(Settings!$B$2,5,29)-WEEKDAY(DATE(Settings!$B$2,5,4)))</f>
        <v>45805</v>
      </c>
      <c r="B73" s="8"/>
      <c r="C73" s="6" t="str">
        <f>TEXT(A73,"mmmm")&amp;" "&amp;YEAR(A73)&amp;" BOG Meeting"</f>
        <v>May 2025 BOG Meeting</v>
      </c>
      <c r="D73" s="7" t="s">
        <v>43</v>
      </c>
      <c r="E73" s="7" t="s">
        <v>39</v>
      </c>
    </row>
    <row r="74" spans="1:5" x14ac:dyDescent="0.2">
      <c r="A74" s="9">
        <f>IF(Settings!$C$3&gt;6,DATE(Settings!$B$2+1,6,14),DATE(Settings!$B$2,6,14))</f>
        <v>45822</v>
      </c>
      <c r="B74" s="9"/>
      <c r="C74" s="10" t="str">
        <f>"Flag Day (US) "&amp; YEAR(A74)</f>
        <v>Flag Day (US) 2025</v>
      </c>
      <c r="D74" s="11" t="s">
        <v>41</v>
      </c>
      <c r="E74" s="11" t="s">
        <v>37</v>
      </c>
    </row>
    <row r="75" spans="1:5" x14ac:dyDescent="0.2">
      <c r="A75" s="9">
        <f>IF(Settings!$C$3&gt;6,(DATE(Settings!$B$2+1,6,1)+(3-1)*7)+IF(1&lt;WEEKDAY(DATE(Settings!$B$2+1,6,1)),1+7-WEEKDAY(DATE(Settings!$B$2+1,6,1)),1-WEEKDAY(DATE(Settings!$B$2+1,6,1))),(DATE(Settings!$B$2,6,1)+(3-1)*7)+IF(1&lt;WEEKDAY(DATE(Settings!$B$2,6,1)),1+7-WEEKDAY(DATE(Settings!$B$2,6,1)),1-WEEKDAY(DATE(Settings!$B$2,6,1))))</f>
        <v>45823</v>
      </c>
      <c r="B75" s="9"/>
      <c r="C75" s="10" t="str">
        <f>"Father's Day "&amp; YEAR(A75)</f>
        <v>Father's Day 2025</v>
      </c>
      <c r="D75" s="11" t="s">
        <v>41</v>
      </c>
      <c r="E75" s="11" t="s">
        <v>37</v>
      </c>
    </row>
    <row r="76" spans="1:5" x14ac:dyDescent="0.2">
      <c r="A76" s="8">
        <v>45829</v>
      </c>
      <c r="B76" s="8">
        <v>45833</v>
      </c>
      <c r="C76" s="6" t="s">
        <v>76</v>
      </c>
      <c r="D76" s="7" t="s">
        <v>51</v>
      </c>
      <c r="E76" s="7" t="s">
        <v>37</v>
      </c>
    </row>
    <row r="77" spans="1:5" x14ac:dyDescent="0.2">
      <c r="A77" s="8">
        <f>IF(Settings!$C$3&gt;6,DATE(Settings!$B$2+1,6,23),DATE(Settings!$B$2,6,23))</f>
        <v>45831</v>
      </c>
      <c r="B77" s="8"/>
      <c r="C77" s="6" t="s">
        <v>61</v>
      </c>
      <c r="D77" s="7" t="s">
        <v>35</v>
      </c>
      <c r="E77" s="7" t="s">
        <v>38</v>
      </c>
    </row>
    <row r="78" spans="1:5" x14ac:dyDescent="0.2">
      <c r="A78" s="8">
        <f>IF(Settings!$C$3&gt;6,DATE(Settings!$B$2+1,6,29)-WEEKDAY(DATE(Settings!$B$2+1,6,4)),DATE(Settings!$B$2,6,29)-WEEKDAY(DATE(Settings!$B$2,6,4)))</f>
        <v>45833</v>
      </c>
      <c r="B78" s="8"/>
      <c r="C78" s="6" t="str">
        <f>TEXT(A78,"mmmm")&amp;" "&amp;YEAR(A78)&amp;" BOG Meeting"</f>
        <v>June 2025 BOG Meeting</v>
      </c>
      <c r="D78" s="7" t="s">
        <v>43</v>
      </c>
      <c r="E78" s="7" t="s">
        <v>39</v>
      </c>
    </row>
    <row r="79" spans="1:5" x14ac:dyDescent="0.2">
      <c r="A79" s="8">
        <v>45924</v>
      </c>
      <c r="B79" s="8">
        <v>45925</v>
      </c>
      <c r="C79" s="6" t="s">
        <v>71</v>
      </c>
      <c r="D79" s="7" t="s">
        <v>51</v>
      </c>
      <c r="E79" s="7" t="s">
        <v>37</v>
      </c>
    </row>
    <row r="80" spans="1:5" x14ac:dyDescent="0.2">
      <c r="A80" s="8">
        <v>46053</v>
      </c>
      <c r="B80" s="8">
        <v>46057</v>
      </c>
      <c r="C80" s="6" t="s">
        <v>78</v>
      </c>
      <c r="D80" s="7" t="s">
        <v>51</v>
      </c>
      <c r="E80" s="7" t="s">
        <v>37</v>
      </c>
    </row>
    <row r="81" spans="1:5" x14ac:dyDescent="0.2">
      <c r="A81" s="8">
        <v>46055</v>
      </c>
      <c r="B81" s="8">
        <v>46057</v>
      </c>
      <c r="C81" s="6" t="s">
        <v>79</v>
      </c>
      <c r="D81" s="7" t="s">
        <v>51</v>
      </c>
      <c r="E81" s="7" t="s">
        <v>37</v>
      </c>
    </row>
    <row r="82" spans="1:5" x14ac:dyDescent="0.2">
      <c r="A82" s="8">
        <v>46200</v>
      </c>
      <c r="B82" s="8">
        <v>46204</v>
      </c>
      <c r="C82" s="6" t="s">
        <v>75</v>
      </c>
      <c r="D82" s="7" t="s">
        <v>51</v>
      </c>
      <c r="E82" s="7" t="s">
        <v>37</v>
      </c>
    </row>
    <row r="83" spans="1:5" x14ac:dyDescent="0.2">
      <c r="A83" s="8">
        <v>45515</v>
      </c>
      <c r="B83" s="8">
        <v>45515</v>
      </c>
      <c r="C83" s="6" t="s">
        <v>85</v>
      </c>
      <c r="D83" s="7" t="s">
        <v>33</v>
      </c>
      <c r="E83" s="7" t="s">
        <v>37</v>
      </c>
    </row>
    <row r="84" spans="1:5" x14ac:dyDescent="0.2">
      <c r="A84" s="8">
        <v>45583</v>
      </c>
      <c r="B84" s="8">
        <v>45585</v>
      </c>
      <c r="C84" s="6" t="s">
        <v>86</v>
      </c>
      <c r="D84" s="7" t="s">
        <v>33</v>
      </c>
      <c r="E84" s="7" t="s">
        <v>37</v>
      </c>
    </row>
    <row r="85" spans="1:5" x14ac:dyDescent="0.2">
      <c r="A85" s="8">
        <v>45448</v>
      </c>
      <c r="B85" s="8"/>
      <c r="C85" s="6" t="s">
        <v>87</v>
      </c>
      <c r="D85" s="7" t="s">
        <v>33</v>
      </c>
      <c r="E85" s="7" t="s">
        <v>37</v>
      </c>
    </row>
    <row r="86" spans="1:5" x14ac:dyDescent="0.2">
      <c r="A86" s="8">
        <v>45627</v>
      </c>
      <c r="B86" s="8"/>
      <c r="C86" s="6" t="s">
        <v>88</v>
      </c>
      <c r="D86" s="7" t="s">
        <v>44</v>
      </c>
      <c r="E86" s="7" t="s">
        <v>37</v>
      </c>
    </row>
    <row r="87" spans="1:5" x14ac:dyDescent="0.2">
      <c r="A87" s="8">
        <v>45778</v>
      </c>
      <c r="B87" s="8"/>
      <c r="C87" s="6" t="s">
        <v>88</v>
      </c>
      <c r="D87" s="7" t="s">
        <v>44</v>
      </c>
      <c r="E87" s="7" t="s">
        <v>37</v>
      </c>
    </row>
    <row r="88" spans="1:5" x14ac:dyDescent="0.2">
      <c r="A88" s="8"/>
      <c r="B88" s="8"/>
      <c r="C88" s="6"/>
      <c r="D88" s="7"/>
      <c r="E88" s="7"/>
    </row>
    <row r="89" spans="1:5" x14ac:dyDescent="0.2">
      <c r="A89" s="8"/>
      <c r="B89" s="8"/>
      <c r="C89" s="6"/>
      <c r="D89" s="7"/>
      <c r="E89" s="7"/>
    </row>
    <row r="90" spans="1:5" x14ac:dyDescent="0.2">
      <c r="A90" s="8"/>
      <c r="B90" s="8"/>
      <c r="C90" s="6"/>
      <c r="D90" s="7"/>
      <c r="E90" s="7"/>
    </row>
    <row r="91" spans="1:5" x14ac:dyDescent="0.2">
      <c r="A91" s="8"/>
      <c r="B91" s="8"/>
      <c r="C91" s="6"/>
      <c r="D91" s="7"/>
      <c r="E91" s="7"/>
    </row>
    <row r="92" spans="1:5" x14ac:dyDescent="0.2">
      <c r="A92" s="8"/>
      <c r="B92" s="8"/>
      <c r="C92" s="6"/>
      <c r="D92" s="7"/>
      <c r="E92" s="7"/>
    </row>
    <row r="93" spans="1:5" x14ac:dyDescent="0.2">
      <c r="A93" s="8"/>
      <c r="B93" s="8"/>
      <c r="C93" s="6"/>
      <c r="D93" s="7"/>
      <c r="E93" s="7"/>
    </row>
    <row r="94" spans="1:5" x14ac:dyDescent="0.2">
      <c r="A94" s="8"/>
      <c r="B94" s="8"/>
      <c r="C94" s="6"/>
      <c r="D94" s="7"/>
      <c r="E94" s="7"/>
    </row>
    <row r="95" spans="1:5" x14ac:dyDescent="0.2">
      <c r="A95" s="8"/>
      <c r="B95" s="8"/>
      <c r="C95" s="6"/>
      <c r="D95" s="7"/>
      <c r="E95" s="7"/>
    </row>
    <row r="96" spans="1:5" x14ac:dyDescent="0.2">
      <c r="A96" s="8"/>
      <c r="B96" s="8"/>
      <c r="C96" s="6"/>
      <c r="D96" s="7"/>
      <c r="E96" s="7"/>
    </row>
    <row r="97" spans="1:5" x14ac:dyDescent="0.2">
      <c r="A97" s="8"/>
      <c r="B97" s="8"/>
      <c r="C97" s="6"/>
      <c r="D97" s="7"/>
      <c r="E97" s="7"/>
    </row>
    <row r="98" spans="1:5" x14ac:dyDescent="0.2">
      <c r="A98" s="8"/>
      <c r="B98" s="8"/>
      <c r="C98" s="6"/>
      <c r="D98" s="7"/>
      <c r="E98" s="7"/>
    </row>
    <row r="99" spans="1:5" x14ac:dyDescent="0.2">
      <c r="A99" s="8"/>
      <c r="B99" s="8"/>
      <c r="C99" s="6"/>
      <c r="D99" s="7"/>
      <c r="E99" s="7"/>
    </row>
    <row r="100" spans="1:5" x14ac:dyDescent="0.2">
      <c r="A100" s="8"/>
      <c r="B100" s="8"/>
      <c r="C100" s="6"/>
      <c r="D100" s="7"/>
      <c r="E100" s="7"/>
    </row>
  </sheetData>
  <autoFilter ref="A2:E87" xr:uid="{00000000-0009-0000-0000-000001000000}">
    <sortState xmlns:xlrd2="http://schemas.microsoft.com/office/spreadsheetml/2017/richdata2" ref="A3:E82">
      <sortCondition ref="A2:A82"/>
    </sortState>
  </autoFilter>
  <mergeCells count="1">
    <mergeCell ref="A1:E1"/>
  </mergeCells>
  <conditionalFormatting sqref="A34:A40">
    <cfRule type="expression" dxfId="126" priority="134">
      <formula>$M34=$O$9</formula>
    </cfRule>
    <cfRule type="expression" dxfId="125" priority="136">
      <formula>$M34=$O$11</formula>
    </cfRule>
    <cfRule type="expression" dxfId="124" priority="135">
      <formula>$M34=$O$10</formula>
    </cfRule>
    <cfRule type="expression" dxfId="123" priority="132">
      <formula>$M34=#REF!</formula>
    </cfRule>
    <cfRule type="expression" dxfId="122" priority="133">
      <formula>$M34=#REF!</formula>
    </cfRule>
    <cfRule type="expression" dxfId="121" priority="131">
      <formula>$M34=#REF!</formula>
    </cfRule>
    <cfRule type="expression" dxfId="120" priority="130">
      <formula>$M34=#REF!</formula>
    </cfRule>
    <cfRule type="expression" dxfId="119" priority="129">
      <formula>$M34=$O$8</formula>
    </cfRule>
  </conditionalFormatting>
  <conditionalFormatting sqref="A50:A100">
    <cfRule type="expression" dxfId="118" priority="31">
      <formula>$M50=$O$10</formula>
    </cfRule>
    <cfRule type="expression" dxfId="117" priority="28">
      <formula>$M50=#REF!</formula>
    </cfRule>
    <cfRule type="expression" dxfId="116" priority="27">
      <formula>$M50=#REF!</formula>
    </cfRule>
    <cfRule type="expression" dxfId="115" priority="26">
      <formula>$M50=#REF!</formula>
    </cfRule>
    <cfRule type="expression" dxfId="114" priority="25">
      <formula>$M50=$O$8</formula>
    </cfRule>
    <cfRule type="expression" dxfId="113" priority="29">
      <formula>$M50=#REF!</formula>
    </cfRule>
    <cfRule type="expression" dxfId="112" priority="30">
      <formula>$M50=$O$9</formula>
    </cfRule>
  </conditionalFormatting>
  <conditionalFormatting sqref="A41:B49 A51:A100">
    <cfRule type="expression" dxfId="111" priority="184">
      <formula>$M41=$O$11</formula>
    </cfRule>
  </conditionalFormatting>
  <conditionalFormatting sqref="A41:B49">
    <cfRule type="expression" dxfId="110" priority="183">
      <formula>$M41=$O$10</formula>
    </cfRule>
    <cfRule type="expression" dxfId="109" priority="182">
      <formula>$M41=$O$9</formula>
    </cfRule>
    <cfRule type="expression" dxfId="108" priority="181">
      <formula>$M41=#REF!</formula>
    </cfRule>
    <cfRule type="expression" dxfId="107" priority="180">
      <formula>$M41=#REF!</formula>
    </cfRule>
    <cfRule type="expression" dxfId="106" priority="179">
      <formula>$M41=#REF!</formula>
    </cfRule>
    <cfRule type="expression" dxfId="105" priority="178">
      <formula>$M41=#REF!</formula>
    </cfRule>
  </conditionalFormatting>
  <conditionalFormatting sqref="A50:B50">
    <cfRule type="expression" dxfId="104" priority="32">
      <formula>$M50=$O$11</formula>
    </cfRule>
  </conditionalFormatting>
  <conditionalFormatting sqref="A3:D22 B3:B39 A24:D33 B41:B49 B51:B100">
    <cfRule type="expression" dxfId="103" priority="243">
      <formula>$M3=#REF!</formula>
    </cfRule>
    <cfRule type="expression" dxfId="102" priority="242">
      <formula>$M3=#REF!</formula>
    </cfRule>
    <cfRule type="expression" dxfId="101" priority="248">
      <formula>$M3=$O$11</formula>
    </cfRule>
    <cfRule type="expression" dxfId="100" priority="247">
      <formula>$M3=$O$10</formula>
    </cfRule>
    <cfRule type="expression" dxfId="99" priority="246">
      <formula>$M3=$O$9</formula>
    </cfRule>
    <cfRule type="expression" dxfId="98" priority="245">
      <formula>$M3=#REF!</formula>
    </cfRule>
    <cfRule type="expression" dxfId="97" priority="244">
      <formula>$M3=#REF!</formula>
    </cfRule>
  </conditionalFormatting>
  <conditionalFormatting sqref="A3:D33">
    <cfRule type="expression" dxfId="96" priority="153">
      <formula>$M3=$O$8</formula>
    </cfRule>
  </conditionalFormatting>
  <conditionalFormatting sqref="A23:D23">
    <cfRule type="expression" dxfId="95" priority="156">
      <formula>$M23=#REF!</formula>
    </cfRule>
    <cfRule type="expression" dxfId="94" priority="157">
      <formula>$M23=#REF!</formula>
    </cfRule>
    <cfRule type="expression" dxfId="93" priority="158">
      <formula>$M23=$O$9</formula>
    </cfRule>
    <cfRule type="expression" dxfId="92" priority="159">
      <formula>$M23=$O$10</formula>
    </cfRule>
    <cfRule type="expression" dxfId="91" priority="160">
      <formula>$M23=$O$11</formula>
    </cfRule>
    <cfRule type="expression" dxfId="90" priority="154">
      <formula>$M23=#REF!</formula>
    </cfRule>
    <cfRule type="expression" dxfId="89" priority="155">
      <formula>$M23=#REF!</formula>
    </cfRule>
  </conditionalFormatting>
  <conditionalFormatting sqref="A41:E49">
    <cfRule type="expression" dxfId="88" priority="105">
      <formula>$M41=$O$8</formula>
    </cfRule>
  </conditionalFormatting>
  <conditionalFormatting sqref="B38:B40">
    <cfRule type="expression" dxfId="87" priority="152">
      <formula>$M38=$O$11</formula>
    </cfRule>
    <cfRule type="expression" dxfId="86" priority="150">
      <formula>$M38=$O$9</formula>
    </cfRule>
    <cfRule type="expression" dxfId="85" priority="149">
      <formula>$M38=#REF!</formula>
    </cfRule>
    <cfRule type="expression" dxfId="84" priority="148">
      <formula>$M38=#REF!</formula>
    </cfRule>
    <cfRule type="expression" dxfId="83" priority="147">
      <formula>$M38=#REF!</formula>
    </cfRule>
    <cfRule type="expression" dxfId="82" priority="146">
      <formula>$M38=#REF!</formula>
    </cfRule>
    <cfRule type="expression" dxfId="81" priority="151">
      <formula>$M38=$O$10</formula>
    </cfRule>
    <cfRule type="expression" dxfId="80" priority="145">
      <formula>$M38=$O$8</formula>
    </cfRule>
  </conditionalFormatting>
  <conditionalFormatting sqref="B40">
    <cfRule type="expression" dxfId="79" priority="143">
      <formula>$M40=$O$10</formula>
    </cfRule>
    <cfRule type="expression" dxfId="78" priority="144">
      <formula>$M40=$O$11</formula>
    </cfRule>
    <cfRule type="expression" dxfId="77" priority="140">
      <formula>$M40=#REF!</formula>
    </cfRule>
    <cfRule type="expression" dxfId="76" priority="139">
      <formula>$M40=#REF!</formula>
    </cfRule>
    <cfRule type="expression" dxfId="75" priority="138">
      <formula>$M40=#REF!</formula>
    </cfRule>
    <cfRule type="expression" dxfId="74" priority="137">
      <formula>$M40=$O$8</formula>
    </cfRule>
    <cfRule type="expression" dxfId="73" priority="141">
      <formula>$M40=#REF!</formula>
    </cfRule>
    <cfRule type="expression" dxfId="72" priority="142">
      <formula>$M40=$O$9</formula>
    </cfRule>
  </conditionalFormatting>
  <conditionalFormatting sqref="B41:B49 B3:B39 B51:B100">
    <cfRule type="expression" dxfId="71" priority="241">
      <formula>$M3=$O$8</formula>
    </cfRule>
  </conditionalFormatting>
  <conditionalFormatting sqref="B50">
    <cfRule type="expression" dxfId="70" priority="42">
      <formula>$M50=#REF!</formula>
    </cfRule>
    <cfRule type="expression" dxfId="69" priority="43">
      <formula>$M50=#REF!</formula>
    </cfRule>
    <cfRule type="expression" dxfId="68" priority="45">
      <formula>$M50=#REF!</formula>
    </cfRule>
    <cfRule type="expression" dxfId="67" priority="44">
      <formula>$M50=#REF!</formula>
    </cfRule>
    <cfRule type="expression" dxfId="66" priority="41">
      <formula>$M50=$O$8</formula>
    </cfRule>
  </conditionalFormatting>
  <conditionalFormatting sqref="B50:B52">
    <cfRule type="expression" dxfId="65" priority="46">
      <formula>$M50=$O$9</formula>
    </cfRule>
    <cfRule type="expression" dxfId="64" priority="47">
      <formula>$M50=$O$10</formula>
    </cfRule>
    <cfRule type="expression" dxfId="63" priority="48">
      <formula>$M50=$O$11</formula>
    </cfRule>
  </conditionalFormatting>
  <conditionalFormatting sqref="B50:C50">
    <cfRule type="expression" dxfId="62" priority="6">
      <formula>$M50=$O$9</formula>
    </cfRule>
    <cfRule type="expression" dxfId="61" priority="7">
      <formula>$M50=$O$10</formula>
    </cfRule>
  </conditionalFormatting>
  <conditionalFormatting sqref="B50:C52">
    <cfRule type="expression" dxfId="60" priority="2">
      <formula>$M50=#REF!</formula>
    </cfRule>
    <cfRule type="expression" dxfId="59" priority="3">
      <formula>$M50=#REF!</formula>
    </cfRule>
    <cfRule type="expression" dxfId="58" priority="4">
      <formula>$M50=#REF!</formula>
    </cfRule>
    <cfRule type="expression" dxfId="57" priority="5">
      <formula>$M50=#REF!</formula>
    </cfRule>
    <cfRule type="expression" dxfId="56" priority="1">
      <formula>$M50=$O$8</formula>
    </cfRule>
  </conditionalFormatting>
  <conditionalFormatting sqref="C50">
    <cfRule type="expression" dxfId="55" priority="8">
      <formula>$M50=$O$11</formula>
    </cfRule>
  </conditionalFormatting>
  <conditionalFormatting sqref="C53:C56">
    <cfRule type="expression" dxfId="54" priority="52">
      <formula>$M53=#REF!</formula>
    </cfRule>
    <cfRule type="expression" dxfId="53" priority="50">
      <formula>$M53=#REF!</formula>
    </cfRule>
    <cfRule type="expression" dxfId="52" priority="49">
      <formula>$M53=$O$8</formula>
    </cfRule>
    <cfRule type="expression" dxfId="51" priority="53">
      <formula>$M53=#REF!</formula>
    </cfRule>
    <cfRule type="expression" dxfId="50" priority="51">
      <formula>$M53=#REF!</formula>
    </cfRule>
  </conditionalFormatting>
  <conditionalFormatting sqref="C34:D40">
    <cfRule type="expression" dxfId="49" priority="121">
      <formula>$M34=$O$8</formula>
    </cfRule>
  </conditionalFormatting>
  <conditionalFormatting sqref="C34:D47">
    <cfRule type="expression" dxfId="48" priority="127">
      <formula>$M34=$O$10</formula>
    </cfRule>
    <cfRule type="expression" dxfId="47" priority="128">
      <formula>$M34=$O$11</formula>
    </cfRule>
    <cfRule type="expression" dxfId="46" priority="123">
      <formula>$M34=#REF!</formula>
    </cfRule>
    <cfRule type="expression" dxfId="45" priority="122">
      <formula>$M34=#REF!</formula>
    </cfRule>
    <cfRule type="expression" dxfId="44" priority="124">
      <formula>$M34=#REF!</formula>
    </cfRule>
    <cfRule type="expression" dxfId="43" priority="125">
      <formula>$M34=#REF!</formula>
    </cfRule>
    <cfRule type="expression" dxfId="42" priority="126">
      <formula>$M34=$O$9</formula>
    </cfRule>
  </conditionalFormatting>
  <conditionalFormatting sqref="C48:D49">
    <cfRule type="expression" dxfId="41" priority="106">
      <formula>$M48=#REF!</formula>
    </cfRule>
    <cfRule type="expression" dxfId="40" priority="109">
      <formula>$M48=#REF!</formula>
    </cfRule>
    <cfRule type="expression" dxfId="39" priority="107">
      <formula>$M48=#REF!</formula>
    </cfRule>
    <cfRule type="expression" dxfId="38" priority="108">
      <formula>$M48=#REF!</formula>
    </cfRule>
    <cfRule type="expression" dxfId="37" priority="111">
      <formula>$M48=$O$10</formula>
    </cfRule>
    <cfRule type="expression" dxfId="36" priority="112">
      <formula>$M48=$O$11</formula>
    </cfRule>
    <cfRule type="expression" dxfId="35" priority="110">
      <formula>$M48=$O$9</formula>
    </cfRule>
  </conditionalFormatting>
  <conditionalFormatting sqref="C51:D56">
    <cfRule type="expression" dxfId="34" priority="54">
      <formula>$M51=$O$9</formula>
    </cfRule>
    <cfRule type="expression" dxfId="33" priority="55">
      <formula>$M51=$O$10</formula>
    </cfRule>
    <cfRule type="expression" dxfId="32" priority="56">
      <formula>$M51=$O$11</formula>
    </cfRule>
  </conditionalFormatting>
  <conditionalFormatting sqref="C57:D100">
    <cfRule type="expression" dxfId="31" priority="174">
      <formula>$M57=$O$9</formula>
    </cfRule>
    <cfRule type="expression" dxfId="30" priority="175">
      <formula>$M57=$O$10</formula>
    </cfRule>
    <cfRule type="expression" dxfId="29" priority="169">
      <formula>$M57=$O$8</formula>
    </cfRule>
    <cfRule type="expression" dxfId="28" priority="170">
      <formula>$M57=#REF!</formula>
    </cfRule>
    <cfRule type="expression" dxfId="27" priority="171">
      <formula>$M57=#REF!</formula>
    </cfRule>
    <cfRule type="expression" dxfId="26" priority="172">
      <formula>$M57=#REF!</formula>
    </cfRule>
    <cfRule type="expression" dxfId="25" priority="173">
      <formula>$M57=#REF!</formula>
    </cfRule>
    <cfRule type="expression" dxfId="24" priority="176">
      <formula>$M57=$O$11</formula>
    </cfRule>
  </conditionalFormatting>
  <conditionalFormatting sqref="D50">
    <cfRule type="expression" dxfId="23" priority="24">
      <formula>$M50=$O$11</formula>
    </cfRule>
    <cfRule type="expression" dxfId="22" priority="23">
      <formula>$M50=$O$10</formula>
    </cfRule>
    <cfRule type="expression" dxfId="21" priority="22">
      <formula>$M50=$O$9</formula>
    </cfRule>
  </conditionalFormatting>
  <conditionalFormatting sqref="D50:D56">
    <cfRule type="expression" dxfId="20" priority="21">
      <formula>$M50=#REF!</formula>
    </cfRule>
    <cfRule type="expression" dxfId="19" priority="20">
      <formula>$M50=#REF!</formula>
    </cfRule>
    <cfRule type="expression" dxfId="18" priority="19">
      <formula>$M50=#REF!</formula>
    </cfRule>
    <cfRule type="expression" dxfId="17" priority="18">
      <formula>$M50=#REF!</formula>
    </cfRule>
    <cfRule type="expression" dxfId="16" priority="17">
      <formula>$M50=$O$8</formula>
    </cfRule>
  </conditionalFormatting>
  <conditionalFormatting sqref="E3:E40">
    <cfRule type="expression" dxfId="15" priority="113">
      <formula>$M3=$O$8</formula>
    </cfRule>
  </conditionalFormatting>
  <conditionalFormatting sqref="E3:E49">
    <cfRule type="expression" dxfId="14" priority="120">
      <formula>$M3=$O$11</formula>
    </cfRule>
    <cfRule type="expression" dxfId="13" priority="114">
      <formula>$M3=#REF!</formula>
    </cfRule>
    <cfRule type="expression" dxfId="12" priority="115">
      <formula>$M3=#REF!</formula>
    </cfRule>
    <cfRule type="expression" dxfId="11" priority="116">
      <formula>$M3=#REF!</formula>
    </cfRule>
    <cfRule type="expression" dxfId="10" priority="117">
      <formula>$M3=#REF!</formula>
    </cfRule>
    <cfRule type="expression" dxfId="9" priority="118">
      <formula>$M3=$O$9</formula>
    </cfRule>
    <cfRule type="expression" dxfId="8" priority="119">
      <formula>$M3=$O$10</formula>
    </cfRule>
  </conditionalFormatting>
  <conditionalFormatting sqref="E50:E100">
    <cfRule type="expression" dxfId="7" priority="12">
      <formula>$M50=#REF!</formula>
    </cfRule>
    <cfRule type="expression" dxfId="6" priority="11">
      <formula>$M50=#REF!</formula>
    </cfRule>
    <cfRule type="expression" dxfId="5" priority="10">
      <formula>$M50=#REF!</formula>
    </cfRule>
    <cfRule type="expression" dxfId="4" priority="9">
      <formula>$M50=$O$8</formula>
    </cfRule>
    <cfRule type="expression" dxfId="3" priority="16">
      <formula>$M50=$O$11</formula>
    </cfRule>
    <cfRule type="expression" dxfId="2" priority="13">
      <formula>$M50=#REF!</formula>
    </cfRule>
    <cfRule type="expression" dxfId="1" priority="15">
      <formula>$M50=$O$10</formula>
    </cfRule>
    <cfRule type="expression" dxfId="0" priority="14">
      <formula>$M50=$O$9</formula>
    </cfRule>
  </conditionalFormatting>
  <dataValidations count="1">
    <dataValidation type="list" allowBlank="1" showInputMessage="1" showErrorMessage="1" sqref="D3:D100" xr:uid="{00000000-0002-0000-0100-000000000000}">
      <formula1>eventlabels2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Settings!$Q$2:$Q$4</xm:f>
          </x14:formula1>
          <xm:sqref>E3:E33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workbookViewId="0">
      <selection activeCell="Q10" sqref="Q10"/>
    </sheetView>
  </sheetViews>
  <sheetFormatPr defaultColWidth="11" defaultRowHeight="14.25" x14ac:dyDescent="0.2"/>
  <cols>
    <col min="1" max="1" width="17.25" style="3" bestFit="1" customWidth="1"/>
    <col min="3" max="3" width="17.875" bestFit="1" customWidth="1"/>
    <col min="16" max="16" width="14.75" bestFit="1" customWidth="1"/>
  </cols>
  <sheetData>
    <row r="1" spans="1:17" x14ac:dyDescent="0.2">
      <c r="B1" t="s">
        <v>1</v>
      </c>
      <c r="C1" t="s">
        <v>2</v>
      </c>
      <c r="L1" t="s">
        <v>3</v>
      </c>
      <c r="M1" t="s">
        <v>4</v>
      </c>
      <c r="N1" t="s">
        <v>5</v>
      </c>
      <c r="O1" t="s">
        <v>6</v>
      </c>
      <c r="P1" t="s">
        <v>40</v>
      </c>
      <c r="Q1" t="s">
        <v>36</v>
      </c>
    </row>
    <row r="2" spans="1:17" x14ac:dyDescent="0.2">
      <c r="A2" s="3" t="s">
        <v>3</v>
      </c>
      <c r="B2" s="1">
        <f>INDEX(L2:L32,C2)</f>
        <v>2024</v>
      </c>
      <c r="C2" s="1">
        <v>5</v>
      </c>
      <c r="L2">
        <v>2020</v>
      </c>
      <c r="M2" t="s">
        <v>7</v>
      </c>
      <c r="N2" t="s">
        <v>8</v>
      </c>
      <c r="O2" t="s">
        <v>8</v>
      </c>
      <c r="P2" t="s">
        <v>42</v>
      </c>
      <c r="Q2" t="s">
        <v>39</v>
      </c>
    </row>
    <row r="3" spans="1:17" x14ac:dyDescent="0.2">
      <c r="A3" s="3" t="s">
        <v>9</v>
      </c>
      <c r="B3" s="1" t="str">
        <f>INDEX(M2:M13,C3)</f>
        <v>Jul</v>
      </c>
      <c r="C3" s="1">
        <v>7</v>
      </c>
      <c r="L3">
        <v>2021</v>
      </c>
      <c r="M3" t="s">
        <v>10</v>
      </c>
      <c r="N3" t="s">
        <v>11</v>
      </c>
      <c r="O3" t="s">
        <v>11</v>
      </c>
      <c r="P3" t="s">
        <v>43</v>
      </c>
      <c r="Q3" t="s">
        <v>38</v>
      </c>
    </row>
    <row r="4" spans="1:17" x14ac:dyDescent="0.2">
      <c r="A4" s="3" t="s">
        <v>12</v>
      </c>
      <c r="B4" s="1" t="str">
        <f>INDEX(N2:N8,C4)</f>
        <v>Sun</v>
      </c>
      <c r="C4" s="1">
        <v>1</v>
      </c>
      <c r="L4">
        <v>2022</v>
      </c>
      <c r="M4" t="s">
        <v>13</v>
      </c>
      <c r="N4" t="s">
        <v>14</v>
      </c>
      <c r="O4" t="s">
        <v>14</v>
      </c>
      <c r="P4" t="s">
        <v>44</v>
      </c>
      <c r="Q4" t="s">
        <v>37</v>
      </c>
    </row>
    <row r="5" spans="1:17" x14ac:dyDescent="0.2">
      <c r="L5">
        <v>2023</v>
      </c>
      <c r="M5" t="s">
        <v>15</v>
      </c>
      <c r="N5" t="s">
        <v>16</v>
      </c>
      <c r="O5" t="s">
        <v>16</v>
      </c>
      <c r="P5" t="s">
        <v>33</v>
      </c>
    </row>
    <row r="6" spans="1:17" x14ac:dyDescent="0.2">
      <c r="L6">
        <v>2024</v>
      </c>
      <c r="M6" t="s">
        <v>17</v>
      </c>
      <c r="N6" t="s">
        <v>18</v>
      </c>
      <c r="O6" t="s">
        <v>18</v>
      </c>
      <c r="P6" t="s">
        <v>45</v>
      </c>
    </row>
    <row r="7" spans="1:17" x14ac:dyDescent="0.2">
      <c r="A7" s="3" t="s">
        <v>19</v>
      </c>
      <c r="B7" t="str">
        <f>IF(C7,"Sat","no highlight")</f>
        <v>no highlight</v>
      </c>
      <c r="C7" t="b">
        <v>0</v>
      </c>
      <c r="L7">
        <v>2025</v>
      </c>
      <c r="M7" t="s">
        <v>20</v>
      </c>
      <c r="N7" t="s">
        <v>21</v>
      </c>
      <c r="O7" t="s">
        <v>21</v>
      </c>
      <c r="P7" t="s">
        <v>48</v>
      </c>
    </row>
    <row r="8" spans="1:17" x14ac:dyDescent="0.2">
      <c r="A8" s="3" t="s">
        <v>22</v>
      </c>
      <c r="B8" t="str">
        <f>IF(C8,"Sun","no highlight")</f>
        <v>Sun</v>
      </c>
      <c r="C8" t="b">
        <v>1</v>
      </c>
      <c r="L8">
        <v>2026</v>
      </c>
      <c r="M8" t="s">
        <v>23</v>
      </c>
      <c r="N8" t="s">
        <v>24</v>
      </c>
      <c r="O8" t="s">
        <v>24</v>
      </c>
      <c r="P8" t="s">
        <v>46</v>
      </c>
    </row>
    <row r="9" spans="1:17" x14ac:dyDescent="0.2">
      <c r="L9">
        <v>2027</v>
      </c>
      <c r="M9" t="s">
        <v>25</v>
      </c>
      <c r="O9" t="s">
        <v>8</v>
      </c>
      <c r="P9" t="s">
        <v>47</v>
      </c>
    </row>
    <row r="10" spans="1:17" x14ac:dyDescent="0.2">
      <c r="A10" s="3" t="str">
        <f>Q2</f>
        <v>Chapter</v>
      </c>
      <c r="C10" t="b">
        <v>1</v>
      </c>
      <c r="L10">
        <v>2028</v>
      </c>
      <c r="M10" t="s">
        <v>26</v>
      </c>
      <c r="O10" t="s">
        <v>11</v>
      </c>
      <c r="P10" t="s">
        <v>35</v>
      </c>
    </row>
    <row r="11" spans="1:17" x14ac:dyDescent="0.2">
      <c r="A11" s="3" t="str">
        <f t="shared" ref="A11:A12" si="0">Q3</f>
        <v>Region</v>
      </c>
      <c r="C11" t="b">
        <v>1</v>
      </c>
      <c r="L11">
        <v>2029</v>
      </c>
      <c r="M11" t="s">
        <v>27</v>
      </c>
      <c r="O11" t="s">
        <v>14</v>
      </c>
      <c r="P11" t="s">
        <v>49</v>
      </c>
    </row>
    <row r="12" spans="1:17" x14ac:dyDescent="0.2">
      <c r="A12" s="3" t="str">
        <f t="shared" si="0"/>
        <v>Society</v>
      </c>
      <c r="C12" t="b">
        <v>1</v>
      </c>
      <c r="L12">
        <v>2030</v>
      </c>
      <c r="M12" t="s">
        <v>28</v>
      </c>
      <c r="O12" t="s">
        <v>16</v>
      </c>
      <c r="P12" t="s">
        <v>51</v>
      </c>
    </row>
    <row r="13" spans="1:17" x14ac:dyDescent="0.2">
      <c r="L13">
        <v>2031</v>
      </c>
      <c r="M13" t="s">
        <v>29</v>
      </c>
      <c r="O13" t="s">
        <v>18</v>
      </c>
      <c r="P13" t="s">
        <v>41</v>
      </c>
    </row>
    <row r="14" spans="1:17" x14ac:dyDescent="0.2">
      <c r="L14">
        <v>2032</v>
      </c>
      <c r="O14" t="s">
        <v>21</v>
      </c>
    </row>
    <row r="15" spans="1:17" x14ac:dyDescent="0.2">
      <c r="A15" s="3" t="str">
        <f>P2</f>
        <v>Monthly Program</v>
      </c>
      <c r="C15" t="b">
        <v>1</v>
      </c>
      <c r="L15">
        <v>2033</v>
      </c>
      <c r="O15" t="s">
        <v>24</v>
      </c>
    </row>
    <row r="16" spans="1:17" x14ac:dyDescent="0.2">
      <c r="A16" s="3" t="str">
        <f t="shared" ref="A16:A26" si="1">P3</f>
        <v>BOG Meeting</v>
      </c>
      <c r="C16" t="b">
        <v>1</v>
      </c>
      <c r="L16">
        <v>2034</v>
      </c>
    </row>
    <row r="17" spans="1:12" x14ac:dyDescent="0.2">
      <c r="A17" s="3" t="str">
        <f t="shared" si="1"/>
        <v>Student Activities</v>
      </c>
      <c r="C17" t="b">
        <v>1</v>
      </c>
      <c r="L17">
        <v>2035</v>
      </c>
    </row>
    <row r="18" spans="1:12" x14ac:dyDescent="0.2">
      <c r="A18" s="3" t="str">
        <f t="shared" si="1"/>
        <v>YEA</v>
      </c>
      <c r="C18" t="b">
        <v>1</v>
      </c>
      <c r="L18">
        <v>2036</v>
      </c>
    </row>
    <row r="19" spans="1:12" x14ac:dyDescent="0.2">
      <c r="A19" s="3" t="str">
        <f t="shared" si="1"/>
        <v>Membership</v>
      </c>
      <c r="C19" t="b">
        <v>1</v>
      </c>
      <c r="L19">
        <v>2037</v>
      </c>
    </row>
    <row r="20" spans="1:12" x14ac:dyDescent="0.2">
      <c r="A20" s="3" t="str">
        <f t="shared" si="1"/>
        <v>RP</v>
      </c>
      <c r="C20" t="b">
        <v>1</v>
      </c>
      <c r="L20">
        <v>2038</v>
      </c>
    </row>
    <row r="21" spans="1:12" x14ac:dyDescent="0.2">
      <c r="A21" s="3" t="str">
        <f t="shared" si="1"/>
        <v>GA</v>
      </c>
      <c r="C21" t="b">
        <v>1</v>
      </c>
      <c r="L21">
        <v>2039</v>
      </c>
    </row>
    <row r="22" spans="1:12" x14ac:dyDescent="0.2">
      <c r="A22" s="3" t="str">
        <f t="shared" si="1"/>
        <v>Historical</v>
      </c>
      <c r="C22" t="b">
        <v>1</v>
      </c>
      <c r="L22">
        <v>2040</v>
      </c>
    </row>
    <row r="23" spans="1:12" x14ac:dyDescent="0.2">
      <c r="A23" s="3" t="str">
        <f t="shared" si="1"/>
        <v>DEI</v>
      </c>
      <c r="C23" t="b">
        <v>1</v>
      </c>
      <c r="L23">
        <v>2041</v>
      </c>
    </row>
    <row r="24" spans="1:12" x14ac:dyDescent="0.2">
      <c r="A24" s="3" t="str">
        <f t="shared" si="1"/>
        <v>CTTC</v>
      </c>
      <c r="C24" t="b">
        <v>1</v>
      </c>
      <c r="L24">
        <v>2042</v>
      </c>
    </row>
    <row r="25" spans="1:12" x14ac:dyDescent="0.2">
      <c r="A25" s="3" t="str">
        <f t="shared" si="1"/>
        <v>Special Event</v>
      </c>
      <c r="C25" t="b">
        <v>1</v>
      </c>
      <c r="L25">
        <v>2043</v>
      </c>
    </row>
    <row r="26" spans="1:12" x14ac:dyDescent="0.2">
      <c r="A26" s="3" t="str">
        <f t="shared" si="1"/>
        <v>Holiday</v>
      </c>
      <c r="C26" t="b">
        <v>1</v>
      </c>
      <c r="L26">
        <v>2044</v>
      </c>
    </row>
    <row r="27" spans="1:12" x14ac:dyDescent="0.2">
      <c r="L27">
        <v>2045</v>
      </c>
    </row>
    <row r="28" spans="1:12" x14ac:dyDescent="0.2">
      <c r="L28">
        <v>2046</v>
      </c>
    </row>
    <row r="29" spans="1:12" x14ac:dyDescent="0.2">
      <c r="L29">
        <v>2047</v>
      </c>
    </row>
    <row r="30" spans="1:12" x14ac:dyDescent="0.2">
      <c r="L30">
        <v>2048</v>
      </c>
    </row>
    <row r="31" spans="1:12" x14ac:dyDescent="0.2">
      <c r="L31">
        <v>2049</v>
      </c>
    </row>
    <row r="32" spans="1:12" x14ac:dyDescent="0.2">
      <c r="L32">
        <v>2050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1bb2f90-9fb5-4bdf-abcb-c7f372a96e4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32D7B5C97CE9448E0808A3322C878A" ma:contentTypeVersion="15" ma:contentTypeDescription="Crée un document." ma:contentTypeScope="" ma:versionID="97b23091e0e664fad1d40b37ea9729f1">
  <xsd:schema xmlns:xsd="http://www.w3.org/2001/XMLSchema" xmlns:xs="http://www.w3.org/2001/XMLSchema" xmlns:p="http://schemas.microsoft.com/office/2006/metadata/properties" xmlns:ns3="e0ad9ed9-d634-47c4-98db-e7c2f0fb1e2e" xmlns:ns4="a1bb2f90-9fb5-4bdf-abcb-c7f372a96e4a" targetNamespace="http://schemas.microsoft.com/office/2006/metadata/properties" ma:root="true" ma:fieldsID="046f1820abd915bdfee5ea56a367ecfb" ns3:_="" ns4:_="">
    <xsd:import namespace="e0ad9ed9-d634-47c4-98db-e7c2f0fb1e2e"/>
    <xsd:import namespace="a1bb2f90-9fb5-4bdf-abcb-c7f372a96e4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ad9ed9-d634-47c4-98db-e7c2f0fb1e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b2f90-9fb5-4bdf-abcb-c7f372a96e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DBFD5B-2F1E-4C6D-9DDF-0865C6F5D52B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1bb2f90-9fb5-4bdf-abcb-c7f372a96e4a"/>
    <ds:schemaRef ds:uri="e0ad9ed9-d634-47c4-98db-e7c2f0fb1e2e"/>
  </ds:schemaRefs>
</ds:datastoreItem>
</file>

<file path=customXml/itemProps2.xml><?xml version="1.0" encoding="utf-8"?>
<ds:datastoreItem xmlns:ds="http://schemas.openxmlformats.org/officeDocument/2006/customXml" ds:itemID="{3CF26C4F-DFD1-41D7-9796-61C08CBA42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ad9ed9-d634-47c4-98db-e7c2f0fb1e2e"/>
    <ds:schemaRef ds:uri="a1bb2f90-9fb5-4bdf-abcb-c7f372a96e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3C3609-5AE8-4423-AEC7-1DA685E0A2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Calendar</vt:lpstr>
      <vt:lpstr>Events</vt:lpstr>
      <vt:lpstr>Settings</vt:lpstr>
      <vt:lpstr>eventlabels2</vt:lpstr>
    </vt:vector>
  </TitlesOfParts>
  <Manager/>
  <Company>Pageau Morel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Bourque</dc:creator>
  <cp:keywords/>
  <dc:description/>
  <cp:lastModifiedBy>Ratcliff, Joslyn</cp:lastModifiedBy>
  <cp:revision/>
  <dcterms:created xsi:type="dcterms:W3CDTF">2023-06-23T12:06:08Z</dcterms:created>
  <dcterms:modified xsi:type="dcterms:W3CDTF">2024-08-06T19:22:07Z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0x0101008F32D7B5C97CE9448E0808A3322C878A</vt:lpwstr>
  </property>
</Properties>
</file>